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3276" yWindow="600" windowWidth="10272" windowHeight="7596" tabRatio="934" activeTab="2"/>
  </bookViews>
  <sheets>
    <sheet name="Copyright Protection" sheetId="41" r:id="rId1"/>
    <sheet name="Instructions" sheetId="40" r:id="rId2"/>
    <sheet name="Bioenergy Calculator" sheetId="29" r:id="rId3"/>
    <sheet name="Prac. Rec. Assumptions" sheetId="30" r:id="rId4"/>
    <sheet name="Energy Content Assumptions" sheetId="31" r:id="rId5"/>
    <sheet name="Technology Assumptions" sheetId="32" r:id="rId6"/>
    <sheet name="Conversion Tables" sheetId="27" r:id="rId7"/>
    <sheet name="WWTP" sheetId="42" r:id="rId8"/>
    <sheet name="LFG Estimates by Landfill" sheetId="47" r:id="rId9"/>
    <sheet name="Biomass Data Assumptions" sheetId="6" r:id="rId10"/>
    <sheet name="Fuel Yields Eth. and DA Hydrol." sheetId="33" r:id="rId11"/>
    <sheet name="Summary Tables" sheetId="34" state="hidden" r:id="rId12"/>
    <sheet name="GHG - LFG Power" sheetId="43" r:id="rId13"/>
    <sheet name="GHG - LFG Transportation" sheetId="44" r:id="rId14"/>
    <sheet name="GHG - FW Power" sheetId="45" r:id="rId15"/>
    <sheet name="GHG - FW Transportation" sheetId="46" r:id="rId16"/>
    <sheet name="Biodiesel for transportation " sheetId="52" r:id="rId17"/>
    <sheet name="timberland for energy" sheetId="51" r:id="rId18"/>
    <sheet name="GHG-LandfilledMSW-Power" sheetId="50" r:id="rId19"/>
    <sheet name="GHG - Biosolids Power" sheetId="48" r:id="rId20"/>
    <sheet name="Contact Info" sheetId="39" r:id="rId21"/>
    <sheet name="Atlantic" sheetId="5" r:id="rId22"/>
    <sheet name="Bergen" sheetId="12" r:id="rId23"/>
    <sheet name="Burlington" sheetId="14" r:id="rId24"/>
    <sheet name="Camden" sheetId="20" r:id="rId25"/>
    <sheet name="Cape May" sheetId="19" r:id="rId26"/>
    <sheet name="Cumberland" sheetId="18" r:id="rId27"/>
    <sheet name="Essex" sheetId="15" r:id="rId28"/>
    <sheet name="Gloucester" sheetId="17" r:id="rId29"/>
    <sheet name="Hudson" sheetId="16" r:id="rId30"/>
    <sheet name="Hunterdon" sheetId="7" r:id="rId31"/>
    <sheet name="Mercer" sheetId="8" r:id="rId32"/>
    <sheet name="Middlesex" sheetId="9" r:id="rId33"/>
    <sheet name="Monmouth" sheetId="10" r:id="rId34"/>
    <sheet name="Morris" sheetId="11" r:id="rId35"/>
    <sheet name="Ocean" sheetId="13" r:id="rId36"/>
    <sheet name="Passaic" sheetId="21" r:id="rId37"/>
    <sheet name="Salem" sheetId="22" r:id="rId38"/>
    <sheet name="Somerset" sheetId="23" r:id="rId39"/>
    <sheet name="Sussex" sheetId="24" r:id="rId40"/>
    <sheet name="Union" sheetId="25" r:id="rId41"/>
    <sheet name="Warren" sheetId="26" r:id="rId42"/>
    <sheet name="Charts &amp; Tables" sheetId="49" r:id="rId43"/>
    <sheet name="Incineration Data" sheetId="53" r:id="rId44"/>
  </sheets>
  <definedNames>
    <definedName name="_ftn1" localSheetId="1">Instructions!$A$55</definedName>
    <definedName name="_ftn2" localSheetId="1">Instructions!$A$57</definedName>
    <definedName name="_xlnm.Print_Area" localSheetId="21">Atlantic!$A$1:$Q$67</definedName>
    <definedName name="_xlnm.Print_Area" localSheetId="22">Bergen!$A$1:$Q$67</definedName>
    <definedName name="_xlnm.Print_Area" localSheetId="2">'Bioenergy Calculator'!$A$1:$T$96</definedName>
    <definedName name="_xlnm.Print_Area" localSheetId="9">'Biomass Data Assumptions'!$A$1:$AB$89</definedName>
    <definedName name="_xlnm.Print_Area" localSheetId="23">Burlington!$A$1:$Q$67</definedName>
    <definedName name="_xlnm.Print_Area" localSheetId="24">Camden!$A$1:$Q$67</definedName>
    <definedName name="_xlnm.Print_Area" localSheetId="25">'Cape May'!$A$1:$Q$67</definedName>
    <definedName name="_xlnm.Print_Area" localSheetId="6">'Conversion Tables'!$A$1:$BN$56</definedName>
    <definedName name="_xlnm.Print_Area" localSheetId="0">'Copyright Protection'!$A$1:$I$22</definedName>
    <definedName name="_xlnm.Print_Area" localSheetId="26">Cumberland!$A$1:$Q$67</definedName>
    <definedName name="_xlnm.Print_Area" localSheetId="4">'Energy Content Assumptions'!$A$1:$E$72</definedName>
    <definedName name="_xlnm.Print_Area" localSheetId="27">Essex!$A$1:$Q$67</definedName>
    <definedName name="_xlnm.Print_Area" localSheetId="10">'Fuel Yields Eth. and DA Hydrol.'!$A$2:$K$26</definedName>
    <definedName name="_xlnm.Print_Area" localSheetId="28">Gloucester!$A$1:$Q$67</definedName>
    <definedName name="_xlnm.Print_Area" localSheetId="29">Hudson!$A$1:$Q$67</definedName>
    <definedName name="_xlnm.Print_Area" localSheetId="30">Hunterdon!$A$1:$Q$67</definedName>
    <definedName name="_xlnm.Print_Area" localSheetId="31">Mercer!$A$1:$Q$67</definedName>
    <definedName name="_xlnm.Print_Area" localSheetId="32">Middlesex!$A$1:$Q$67</definedName>
    <definedName name="_xlnm.Print_Area" localSheetId="33">Monmouth!$A$1:$Q$67</definedName>
    <definedName name="_xlnm.Print_Area" localSheetId="34">Morris!$A$1:$Q$67</definedName>
    <definedName name="_xlnm.Print_Area" localSheetId="35">Ocean!$A$1:$Q$67</definedName>
    <definedName name="_xlnm.Print_Area" localSheetId="36">Passaic!$A$1:$Q$67</definedName>
    <definedName name="_xlnm.Print_Area" localSheetId="37">Salem!$A$1:$Q$67</definedName>
    <definedName name="_xlnm.Print_Area" localSheetId="38">Somerset!$A$1:$Q$67</definedName>
    <definedName name="_xlnm.Print_Area" localSheetId="11">'Summary Tables'!$A$1:$J$54</definedName>
    <definedName name="_xlnm.Print_Area" localSheetId="39">Sussex!$A$1:$Q$67</definedName>
    <definedName name="_xlnm.Print_Area" localSheetId="5">'Technology Assumptions'!$A$1:$G$46</definedName>
    <definedName name="_xlnm.Print_Area" localSheetId="40">Union!$A$1:$Q$67</definedName>
    <definedName name="_xlnm.Print_Area" localSheetId="41">Warren!$A$1:$Q$67</definedName>
    <definedName name="_xlnm.Print_Titles" localSheetId="6">'Conversion Tables'!$A:$A</definedName>
  </definedNames>
  <calcPr calcId="145621"/>
</workbook>
</file>

<file path=xl/calcChain.xml><?xml version="1.0" encoding="utf-8"?>
<calcChain xmlns="http://schemas.openxmlformats.org/spreadsheetml/2006/main">
  <c r="C47" i="19" l="1"/>
  <c r="C48" i="19"/>
  <c r="B149" i="19"/>
  <c r="C149" i="19" s="1"/>
  <c r="B148" i="19"/>
  <c r="C148" i="19" s="1"/>
  <c r="C47" i="18"/>
  <c r="C48" i="18"/>
  <c r="B149" i="18"/>
  <c r="B148" i="18"/>
  <c r="C47" i="15"/>
  <c r="C48" i="15"/>
  <c r="B149" i="15"/>
  <c r="B148" i="15"/>
  <c r="C47" i="17"/>
  <c r="C48" i="17"/>
  <c r="B149" i="17"/>
  <c r="C149" i="17" s="1"/>
  <c r="B148" i="17"/>
  <c r="C47" i="16"/>
  <c r="C48" i="16"/>
  <c r="B149" i="16"/>
  <c r="B148" i="16"/>
  <c r="C148" i="16" s="1"/>
  <c r="C47" i="7"/>
  <c r="C48" i="7"/>
  <c r="B149" i="7"/>
  <c r="B148" i="7"/>
  <c r="C148" i="7" s="1"/>
  <c r="C47" i="8"/>
  <c r="C48" i="8"/>
  <c r="B149" i="8"/>
  <c r="C149" i="8" s="1"/>
  <c r="B148" i="8"/>
  <c r="C148" i="8" s="1"/>
  <c r="C47" i="9"/>
  <c r="C48" i="9"/>
  <c r="B149" i="9"/>
  <c r="C149" i="9" s="1"/>
  <c r="B148" i="9"/>
  <c r="C47" i="10"/>
  <c r="C48" i="10"/>
  <c r="B149" i="10"/>
  <c r="C149" i="10" s="1"/>
  <c r="B148" i="10"/>
  <c r="C148" i="10" s="1"/>
  <c r="C47" i="11"/>
  <c r="C48" i="11"/>
  <c r="B149" i="11"/>
  <c r="C149" i="11" s="1"/>
  <c r="B148" i="11"/>
  <c r="C47" i="13"/>
  <c r="C48" i="13"/>
  <c r="B149" i="13"/>
  <c r="B148" i="13"/>
  <c r="C47" i="21"/>
  <c r="C48" i="21"/>
  <c r="B149" i="21"/>
  <c r="B148" i="21"/>
  <c r="C148" i="21" s="1"/>
  <c r="C47" i="22"/>
  <c r="C48" i="22"/>
  <c r="B149" i="22"/>
  <c r="B148" i="22"/>
  <c r="C148" i="22" s="1"/>
  <c r="C47" i="23"/>
  <c r="C48" i="23"/>
  <c r="B149" i="23"/>
  <c r="B148" i="23"/>
  <c r="C47" i="24"/>
  <c r="C48" i="24"/>
  <c r="B149" i="24"/>
  <c r="B148" i="24"/>
  <c r="C148" i="24" s="1"/>
  <c r="C47" i="25"/>
  <c r="C48" i="25"/>
  <c r="B149" i="25"/>
  <c r="B148" i="25"/>
  <c r="C148" i="25" s="1"/>
  <c r="C47" i="26"/>
  <c r="C48" i="26"/>
  <c r="B149" i="26"/>
  <c r="C149" i="26" s="1"/>
  <c r="B148" i="26"/>
  <c r="C148" i="26" s="1"/>
  <c r="C149" i="25"/>
  <c r="C149" i="24"/>
  <c r="C149" i="23"/>
  <c r="C148" i="23"/>
  <c r="C149" i="22"/>
  <c r="C149" i="21"/>
  <c r="C149" i="13"/>
  <c r="C148" i="13"/>
  <c r="C148" i="11"/>
  <c r="C148" i="9"/>
  <c r="C149" i="7"/>
  <c r="C149" i="16"/>
  <c r="C148" i="17"/>
  <c r="C149" i="15"/>
  <c r="C148" i="15"/>
  <c r="C149" i="18"/>
  <c r="C148" i="18"/>
  <c r="C47" i="20"/>
  <c r="C48" i="20"/>
  <c r="B149" i="20"/>
  <c r="B148" i="20"/>
  <c r="C148" i="20" s="1"/>
  <c r="C149" i="20"/>
  <c r="C47" i="14"/>
  <c r="C48" i="14"/>
  <c r="B149" i="14"/>
  <c r="C149" i="14" s="1"/>
  <c r="B148" i="14"/>
  <c r="C148" i="14" s="1"/>
  <c r="C47" i="12"/>
  <c r="C48" i="12"/>
  <c r="B149" i="5"/>
  <c r="C149" i="5" s="1"/>
  <c r="C48" i="5" s="1"/>
  <c r="B148" i="5"/>
  <c r="C148" i="5" s="1"/>
  <c r="C47" i="5" s="1"/>
  <c r="B149" i="12"/>
  <c r="C149" i="12" s="1"/>
  <c r="B148" i="12"/>
  <c r="C148" i="12"/>
  <c r="B141" i="14" l="1"/>
  <c r="B142" i="14"/>
  <c r="G4" i="49"/>
  <c r="B37" i="29"/>
  <c r="B36" i="29"/>
  <c r="B35" i="29"/>
  <c r="B34" i="29"/>
  <c r="B143" i="12"/>
  <c r="B142" i="12"/>
  <c r="B141" i="12"/>
  <c r="B143" i="14"/>
  <c r="K26" i="53"/>
  <c r="C26" i="53"/>
  <c r="D6" i="53"/>
  <c r="D7" i="53"/>
  <c r="D8" i="53"/>
  <c r="D9" i="53"/>
  <c r="D10" i="53"/>
  <c r="D11" i="53"/>
  <c r="D12" i="53"/>
  <c r="D13" i="53"/>
  <c r="D14" i="53"/>
  <c r="D15" i="53"/>
  <c r="D16" i="53"/>
  <c r="D17" i="53"/>
  <c r="D18" i="53"/>
  <c r="D19" i="53"/>
  <c r="D20" i="53"/>
  <c r="D21" i="53"/>
  <c r="D22" i="53"/>
  <c r="D23" i="53"/>
  <c r="D24" i="53"/>
  <c r="D25" i="53"/>
  <c r="D5" i="53"/>
  <c r="E6" i="53"/>
  <c r="E7" i="53"/>
  <c r="E8" i="53"/>
  <c r="E9" i="53"/>
  <c r="E10" i="53"/>
  <c r="E11" i="53"/>
  <c r="E12" i="53"/>
  <c r="E13" i="53"/>
  <c r="E14" i="53"/>
  <c r="E16" i="53"/>
  <c r="E17" i="53"/>
  <c r="E18" i="53"/>
  <c r="E19" i="53"/>
  <c r="E20" i="53"/>
  <c r="E21" i="53"/>
  <c r="E22" i="53"/>
  <c r="E23" i="53"/>
  <c r="E24" i="53"/>
  <c r="E25" i="53"/>
  <c r="D26" i="53" l="1"/>
  <c r="L26" i="53" s="1"/>
  <c r="J9" i="30"/>
  <c r="I9" i="30"/>
  <c r="K9" i="30" s="1"/>
  <c r="H9" i="30"/>
  <c r="H223" i="49" l="1"/>
  <c r="G223" i="49"/>
  <c r="F223" i="49"/>
  <c r="E223" i="49"/>
  <c r="D223" i="49"/>
  <c r="P180" i="49" l="1"/>
  <c r="O180" i="49"/>
  <c r="N180" i="49"/>
  <c r="M180" i="49"/>
  <c r="P179" i="49"/>
  <c r="O179" i="49"/>
  <c r="N179" i="49"/>
  <c r="M179" i="49"/>
  <c r="P178" i="49"/>
  <c r="O178" i="49"/>
  <c r="N178" i="49"/>
  <c r="M178" i="49"/>
  <c r="P177" i="49"/>
  <c r="O177" i="49"/>
  <c r="N177" i="49"/>
  <c r="M177" i="49"/>
  <c r="P176" i="49"/>
  <c r="O176" i="49"/>
  <c r="N176" i="49"/>
  <c r="M176" i="49"/>
  <c r="P175" i="49"/>
  <c r="O175" i="49"/>
  <c r="N175" i="49"/>
  <c r="M175" i="49"/>
  <c r="P174" i="49"/>
  <c r="O174" i="49"/>
  <c r="N174" i="49"/>
  <c r="M174" i="49"/>
  <c r="P173" i="49"/>
  <c r="O173" i="49"/>
  <c r="N173" i="49"/>
  <c r="M173" i="49"/>
  <c r="P172" i="49"/>
  <c r="O172" i="49"/>
  <c r="N172" i="49"/>
  <c r="M172" i="49"/>
  <c r="P171" i="49"/>
  <c r="O171" i="49"/>
  <c r="N171" i="49"/>
  <c r="M171" i="49"/>
  <c r="P170" i="49"/>
  <c r="O170" i="49"/>
  <c r="N170" i="49"/>
  <c r="M170" i="49"/>
  <c r="P169" i="49"/>
  <c r="O169" i="49"/>
  <c r="N169" i="49"/>
  <c r="M169" i="49"/>
  <c r="P168" i="49"/>
  <c r="O168" i="49"/>
  <c r="N168" i="49"/>
  <c r="M168" i="49"/>
  <c r="P167" i="49"/>
  <c r="O167" i="49"/>
  <c r="N167" i="49"/>
  <c r="M167" i="49"/>
  <c r="P166" i="49"/>
  <c r="O166" i="49"/>
  <c r="N166" i="49"/>
  <c r="M166" i="49"/>
  <c r="P165" i="49"/>
  <c r="O165" i="49"/>
  <c r="N165" i="49"/>
  <c r="M165" i="49"/>
  <c r="P164" i="49"/>
  <c r="O164" i="49"/>
  <c r="N164" i="49"/>
  <c r="M164" i="49"/>
  <c r="P163" i="49"/>
  <c r="O163" i="49"/>
  <c r="N163" i="49"/>
  <c r="M163" i="49"/>
  <c r="P162" i="49"/>
  <c r="O162" i="49"/>
  <c r="N162" i="49"/>
  <c r="M162" i="49"/>
  <c r="P161" i="49"/>
  <c r="O161" i="49"/>
  <c r="N161" i="49"/>
  <c r="M161" i="49"/>
  <c r="P160" i="49"/>
  <c r="O160" i="49"/>
  <c r="N160" i="49"/>
  <c r="M160" i="49"/>
  <c r="M181" i="49" l="1"/>
  <c r="N181" i="49"/>
  <c r="O181" i="49"/>
  <c r="P181" i="49"/>
  <c r="G207" i="49"/>
  <c r="F207" i="49"/>
  <c r="C207" i="49"/>
  <c r="J180" i="49"/>
  <c r="I180" i="49"/>
  <c r="H180" i="49"/>
  <c r="G180" i="49"/>
  <c r="J179" i="49"/>
  <c r="I179" i="49"/>
  <c r="H179" i="49"/>
  <c r="G179" i="49"/>
  <c r="J178" i="49"/>
  <c r="I178" i="49"/>
  <c r="H178" i="49"/>
  <c r="G178" i="49"/>
  <c r="J177" i="49"/>
  <c r="I177" i="49"/>
  <c r="H177" i="49"/>
  <c r="G177" i="49"/>
  <c r="J176" i="49"/>
  <c r="I176" i="49"/>
  <c r="H176" i="49"/>
  <c r="G176" i="49"/>
  <c r="J175" i="49"/>
  <c r="I175" i="49"/>
  <c r="H175" i="49"/>
  <c r="G175" i="49"/>
  <c r="J174" i="49"/>
  <c r="I174" i="49"/>
  <c r="H174" i="49"/>
  <c r="G174" i="49"/>
  <c r="J173" i="49"/>
  <c r="I173" i="49"/>
  <c r="H173" i="49"/>
  <c r="G173" i="49"/>
  <c r="J172" i="49"/>
  <c r="I172" i="49"/>
  <c r="H172" i="49"/>
  <c r="G172" i="49"/>
  <c r="J171" i="49"/>
  <c r="I171" i="49"/>
  <c r="H171" i="49"/>
  <c r="G171" i="49"/>
  <c r="J170" i="49"/>
  <c r="I170" i="49"/>
  <c r="H170" i="49"/>
  <c r="G170" i="49"/>
  <c r="J169" i="49"/>
  <c r="I169" i="49"/>
  <c r="H169" i="49"/>
  <c r="G169" i="49"/>
  <c r="J168" i="49"/>
  <c r="I168" i="49"/>
  <c r="H168" i="49"/>
  <c r="G168" i="49"/>
  <c r="J167" i="49"/>
  <c r="I167" i="49"/>
  <c r="H167" i="49"/>
  <c r="G167" i="49"/>
  <c r="J166" i="49"/>
  <c r="I166" i="49"/>
  <c r="H166" i="49"/>
  <c r="G166" i="49"/>
  <c r="J165" i="49"/>
  <c r="I165" i="49"/>
  <c r="H165" i="49"/>
  <c r="G165" i="49"/>
  <c r="J164" i="49"/>
  <c r="I164" i="49"/>
  <c r="H164" i="49"/>
  <c r="G164" i="49"/>
  <c r="J163" i="49"/>
  <c r="I163" i="49"/>
  <c r="H163" i="49"/>
  <c r="G163" i="49"/>
  <c r="J162" i="49"/>
  <c r="I162" i="49"/>
  <c r="H162" i="49"/>
  <c r="G162" i="49"/>
  <c r="J161" i="49"/>
  <c r="I161" i="49"/>
  <c r="H161" i="49"/>
  <c r="G161" i="49"/>
  <c r="J160" i="49"/>
  <c r="I160" i="49"/>
  <c r="H160" i="49"/>
  <c r="G160" i="49"/>
  <c r="F181" i="49"/>
  <c r="E181" i="49"/>
  <c r="G153" i="49"/>
  <c r="J153" i="49"/>
  <c r="I153" i="49"/>
  <c r="H153" i="49"/>
  <c r="G152" i="49"/>
  <c r="J152" i="49"/>
  <c r="I152" i="49"/>
  <c r="H152" i="49"/>
  <c r="G151" i="49"/>
  <c r="J151" i="49"/>
  <c r="I151" i="49"/>
  <c r="H151" i="49"/>
  <c r="G150" i="49"/>
  <c r="J150" i="49"/>
  <c r="I150" i="49"/>
  <c r="H150" i="49"/>
  <c r="G149" i="49"/>
  <c r="J149" i="49"/>
  <c r="I149" i="49"/>
  <c r="H149" i="49"/>
  <c r="G148" i="49"/>
  <c r="J148" i="49"/>
  <c r="I148" i="49"/>
  <c r="H148" i="49"/>
  <c r="G147" i="49"/>
  <c r="J147" i="49"/>
  <c r="I147" i="49"/>
  <c r="H147" i="49"/>
  <c r="G146" i="49"/>
  <c r="J146" i="49"/>
  <c r="I146" i="49"/>
  <c r="H146" i="49"/>
  <c r="G145" i="49"/>
  <c r="J145" i="49"/>
  <c r="I145" i="49"/>
  <c r="H145" i="49"/>
  <c r="G144" i="49"/>
  <c r="J144" i="49"/>
  <c r="I144" i="49"/>
  <c r="H144" i="49"/>
  <c r="G143" i="49"/>
  <c r="J143" i="49"/>
  <c r="I143" i="49"/>
  <c r="H143" i="49"/>
  <c r="G142" i="49"/>
  <c r="J142" i="49"/>
  <c r="I142" i="49"/>
  <c r="H142" i="49"/>
  <c r="G141" i="49"/>
  <c r="J141" i="49"/>
  <c r="I141" i="49"/>
  <c r="H141" i="49"/>
  <c r="G140" i="49"/>
  <c r="J140" i="49"/>
  <c r="I140" i="49"/>
  <c r="H140" i="49"/>
  <c r="G139" i="49"/>
  <c r="J139" i="49"/>
  <c r="I139" i="49"/>
  <c r="H139" i="49"/>
  <c r="G138" i="49"/>
  <c r="J138" i="49"/>
  <c r="I138" i="49"/>
  <c r="H138" i="49"/>
  <c r="G137" i="49"/>
  <c r="J137" i="49"/>
  <c r="I137" i="49"/>
  <c r="H137" i="49"/>
  <c r="G136" i="49"/>
  <c r="J136" i="49"/>
  <c r="I136" i="49"/>
  <c r="H136" i="49"/>
  <c r="G135" i="49"/>
  <c r="J135" i="49"/>
  <c r="I135" i="49"/>
  <c r="H135" i="49"/>
  <c r="G134" i="49"/>
  <c r="J134" i="49"/>
  <c r="I134" i="49"/>
  <c r="H134" i="49"/>
  <c r="G133" i="49"/>
  <c r="J133" i="49"/>
  <c r="I133" i="49"/>
  <c r="H133" i="49"/>
  <c r="C154" i="49"/>
  <c r="T153" i="49"/>
  <c r="S153" i="49"/>
  <c r="R153" i="49"/>
  <c r="Q153" i="49"/>
  <c r="T152" i="49"/>
  <c r="S152" i="49"/>
  <c r="R152" i="49"/>
  <c r="Q152" i="49"/>
  <c r="T151" i="49"/>
  <c r="S151" i="49"/>
  <c r="R151" i="49"/>
  <c r="Q151" i="49"/>
  <c r="T150" i="49"/>
  <c r="S150" i="49"/>
  <c r="R150" i="49"/>
  <c r="Q150" i="49"/>
  <c r="T149" i="49"/>
  <c r="S149" i="49"/>
  <c r="R149" i="49"/>
  <c r="Q149" i="49"/>
  <c r="T148" i="49"/>
  <c r="S148" i="49"/>
  <c r="R148" i="49"/>
  <c r="Q148" i="49"/>
  <c r="T147" i="49"/>
  <c r="S147" i="49"/>
  <c r="R147" i="49"/>
  <c r="Q147" i="49"/>
  <c r="T146" i="49"/>
  <c r="S146" i="49"/>
  <c r="R146" i="49"/>
  <c r="Q146" i="49"/>
  <c r="T145" i="49"/>
  <c r="S145" i="49"/>
  <c r="R145" i="49"/>
  <c r="Q145" i="49"/>
  <c r="T144" i="49"/>
  <c r="S144" i="49"/>
  <c r="R144" i="49"/>
  <c r="Q144" i="49"/>
  <c r="T143" i="49"/>
  <c r="S143" i="49"/>
  <c r="R143" i="49"/>
  <c r="Q143" i="49"/>
  <c r="T142" i="49"/>
  <c r="S142" i="49"/>
  <c r="R142" i="49"/>
  <c r="Q142" i="49"/>
  <c r="T141" i="49"/>
  <c r="S141" i="49"/>
  <c r="R141" i="49"/>
  <c r="Q141" i="49"/>
  <c r="T140" i="49"/>
  <c r="S140" i="49"/>
  <c r="R140" i="49"/>
  <c r="Q140" i="49"/>
  <c r="T139" i="49"/>
  <c r="S139" i="49"/>
  <c r="R139" i="49"/>
  <c r="Q139" i="49"/>
  <c r="T138" i="49"/>
  <c r="S138" i="49"/>
  <c r="R138" i="49"/>
  <c r="Q138" i="49"/>
  <c r="T137" i="49"/>
  <c r="S137" i="49"/>
  <c r="R137" i="49"/>
  <c r="Q137" i="49"/>
  <c r="T136" i="49"/>
  <c r="S136" i="49"/>
  <c r="R136" i="49"/>
  <c r="Q136" i="49"/>
  <c r="T135" i="49"/>
  <c r="S135" i="49"/>
  <c r="R135" i="49"/>
  <c r="Q135" i="49"/>
  <c r="T134" i="49"/>
  <c r="S134" i="49"/>
  <c r="R134" i="49"/>
  <c r="Q134" i="49"/>
  <c r="T133" i="49"/>
  <c r="S133" i="49"/>
  <c r="R133" i="49"/>
  <c r="Q133" i="49"/>
  <c r="P154" i="49"/>
  <c r="O154" i="49"/>
  <c r="N154" i="49"/>
  <c r="M154" i="49"/>
  <c r="R126" i="49"/>
  <c r="Q126" i="49"/>
  <c r="T126" i="49"/>
  <c r="S126" i="49"/>
  <c r="R125" i="49"/>
  <c r="Q125" i="49"/>
  <c r="T125" i="49"/>
  <c r="S125" i="49"/>
  <c r="R124" i="49"/>
  <c r="Q124" i="49"/>
  <c r="T124" i="49"/>
  <c r="S124" i="49"/>
  <c r="R123" i="49"/>
  <c r="Q123" i="49"/>
  <c r="T123" i="49"/>
  <c r="S123" i="49"/>
  <c r="R122" i="49"/>
  <c r="Q122" i="49"/>
  <c r="T122" i="49"/>
  <c r="S122" i="49"/>
  <c r="R121" i="49"/>
  <c r="Q121" i="49"/>
  <c r="T121" i="49"/>
  <c r="S121" i="49"/>
  <c r="R120" i="49"/>
  <c r="Q120" i="49"/>
  <c r="T120" i="49"/>
  <c r="S120" i="49"/>
  <c r="R119" i="49"/>
  <c r="Q119" i="49"/>
  <c r="T119" i="49"/>
  <c r="S119" i="49"/>
  <c r="R118" i="49"/>
  <c r="Q118" i="49"/>
  <c r="T118" i="49"/>
  <c r="S118" i="49"/>
  <c r="R117" i="49"/>
  <c r="Q117" i="49"/>
  <c r="T117" i="49"/>
  <c r="S117" i="49"/>
  <c r="R116" i="49"/>
  <c r="Q116" i="49"/>
  <c r="T116" i="49"/>
  <c r="S116" i="49"/>
  <c r="R115" i="49"/>
  <c r="Q115" i="49"/>
  <c r="T115" i="49"/>
  <c r="S115" i="49"/>
  <c r="R114" i="49"/>
  <c r="Q114" i="49"/>
  <c r="T114" i="49"/>
  <c r="S114" i="49"/>
  <c r="R113" i="49"/>
  <c r="Q113" i="49"/>
  <c r="T113" i="49"/>
  <c r="S113" i="49"/>
  <c r="R112" i="49"/>
  <c r="Q112" i="49"/>
  <c r="T112" i="49"/>
  <c r="S112" i="49"/>
  <c r="R111" i="49"/>
  <c r="Q111" i="49"/>
  <c r="T111" i="49"/>
  <c r="S111" i="49"/>
  <c r="R110" i="49"/>
  <c r="Q110" i="49"/>
  <c r="T110" i="49"/>
  <c r="S110" i="49"/>
  <c r="R109" i="49"/>
  <c r="Q109" i="49"/>
  <c r="T109" i="49"/>
  <c r="S109" i="49"/>
  <c r="R108" i="49"/>
  <c r="Q108" i="49"/>
  <c r="T108" i="49"/>
  <c r="S108" i="49"/>
  <c r="R107" i="49"/>
  <c r="Q107" i="49"/>
  <c r="T107" i="49"/>
  <c r="S107" i="49"/>
  <c r="R106" i="49"/>
  <c r="Q106" i="49"/>
  <c r="T106" i="49"/>
  <c r="S106" i="49"/>
  <c r="N127" i="49"/>
  <c r="M127" i="49"/>
  <c r="Y144" i="49" l="1"/>
  <c r="Y150" i="49"/>
  <c r="Y133" i="49"/>
  <c r="Y135" i="49"/>
  <c r="Y137" i="49"/>
  <c r="Y139" i="49"/>
  <c r="Y141" i="49"/>
  <c r="Y143" i="49"/>
  <c r="Y145" i="49"/>
  <c r="Y147" i="49"/>
  <c r="Y149" i="49"/>
  <c r="Y151" i="49"/>
  <c r="Y153" i="49"/>
  <c r="W144" i="49"/>
  <c r="Y134" i="49"/>
  <c r="Y136" i="49"/>
  <c r="Y140" i="49"/>
  <c r="Y148" i="49"/>
  <c r="Y152" i="49"/>
  <c r="X133" i="49"/>
  <c r="X135" i="49"/>
  <c r="X137" i="49"/>
  <c r="X139" i="49"/>
  <c r="X141" i="49"/>
  <c r="X143" i="49"/>
  <c r="X145" i="49"/>
  <c r="X147" i="49"/>
  <c r="X149" i="49"/>
  <c r="X151" i="49"/>
  <c r="X153" i="49"/>
  <c r="Z147" i="49"/>
  <c r="Y142" i="49"/>
  <c r="Z134" i="49"/>
  <c r="Z136" i="49"/>
  <c r="Z138" i="49"/>
  <c r="Z140" i="49"/>
  <c r="Z142" i="49"/>
  <c r="Z144" i="49"/>
  <c r="Z146" i="49"/>
  <c r="Z148" i="49"/>
  <c r="Z150" i="49"/>
  <c r="Z152" i="49"/>
  <c r="W137" i="49"/>
  <c r="W139" i="49"/>
  <c r="W145" i="49"/>
  <c r="W147" i="49"/>
  <c r="W153" i="49"/>
  <c r="W134" i="49"/>
  <c r="W136" i="49"/>
  <c r="W138" i="49"/>
  <c r="W140" i="49"/>
  <c r="W142" i="49"/>
  <c r="W146" i="49"/>
  <c r="W148" i="49"/>
  <c r="W150" i="49"/>
  <c r="W152" i="49"/>
  <c r="H181" i="49"/>
  <c r="Z139" i="49"/>
  <c r="Z133" i="49"/>
  <c r="Z135" i="49"/>
  <c r="Z137" i="49"/>
  <c r="Z141" i="49"/>
  <c r="Z143" i="49"/>
  <c r="Z145" i="49"/>
  <c r="Z149" i="49"/>
  <c r="Z151" i="49"/>
  <c r="Z153" i="49"/>
  <c r="W135" i="49"/>
  <c r="W141" i="49"/>
  <c r="W143" i="49"/>
  <c r="W149" i="49"/>
  <c r="W151" i="49"/>
  <c r="X134" i="49"/>
  <c r="X136" i="49"/>
  <c r="X138" i="49"/>
  <c r="X140" i="49"/>
  <c r="X142" i="49"/>
  <c r="X144" i="49"/>
  <c r="X146" i="49"/>
  <c r="X148" i="49"/>
  <c r="X150" i="49"/>
  <c r="X152" i="49"/>
  <c r="Y138" i="49"/>
  <c r="Y146" i="49"/>
  <c r="W133" i="49"/>
  <c r="T127" i="49"/>
  <c r="G181" i="49"/>
  <c r="H207" i="49"/>
  <c r="I207" i="49"/>
  <c r="E207" i="49"/>
  <c r="J207" i="49"/>
  <c r="D207" i="49"/>
  <c r="I181" i="49"/>
  <c r="J181" i="49"/>
  <c r="C181" i="49"/>
  <c r="D181" i="49"/>
  <c r="G154" i="49"/>
  <c r="J154" i="49"/>
  <c r="H154" i="49"/>
  <c r="I154" i="49"/>
  <c r="D154" i="49"/>
  <c r="E154" i="49"/>
  <c r="F154" i="49"/>
  <c r="S154" i="49"/>
  <c r="T154" i="49"/>
  <c r="Q154" i="49"/>
  <c r="R154" i="49"/>
  <c r="Q127" i="49"/>
  <c r="R127" i="49"/>
  <c r="S127" i="49"/>
  <c r="O127" i="49"/>
  <c r="P127" i="49"/>
  <c r="Y154" i="49" l="1"/>
  <c r="X154" i="49"/>
  <c r="Z154" i="49"/>
  <c r="W154" i="49"/>
  <c r="O4" i="46"/>
  <c r="P29" i="45" l="1"/>
  <c r="M4" i="45"/>
  <c r="L5" i="51" l="1"/>
  <c r="D25" i="51"/>
  <c r="E25" i="51" s="1"/>
  <c r="F25" i="51" s="1"/>
  <c r="D24" i="51"/>
  <c r="E24" i="51" s="1"/>
  <c r="F24" i="51" s="1"/>
  <c r="D23" i="51"/>
  <c r="E23" i="51" s="1"/>
  <c r="F23" i="51" s="1"/>
  <c r="D22" i="51"/>
  <c r="E22" i="51" s="1"/>
  <c r="F22" i="51" s="1"/>
  <c r="D21" i="51"/>
  <c r="E21" i="51" s="1"/>
  <c r="F21" i="51" s="1"/>
  <c r="L21" i="51" s="1"/>
  <c r="D20" i="51"/>
  <c r="E20" i="51" s="1"/>
  <c r="F20" i="51" s="1"/>
  <c r="L20" i="51" s="1"/>
  <c r="D19" i="51"/>
  <c r="E19" i="51" s="1"/>
  <c r="F19" i="51" s="1"/>
  <c r="L19" i="51" s="1"/>
  <c r="D18" i="51"/>
  <c r="E18" i="51" s="1"/>
  <c r="F18" i="51" s="1"/>
  <c r="L18" i="51" s="1"/>
  <c r="D17" i="51"/>
  <c r="E17" i="51" s="1"/>
  <c r="F17" i="51" s="1"/>
  <c r="D16" i="51"/>
  <c r="E16" i="51" s="1"/>
  <c r="F16" i="51" s="1"/>
  <c r="D15" i="51"/>
  <c r="E15" i="51" s="1"/>
  <c r="F15" i="51" s="1"/>
  <c r="D14" i="51"/>
  <c r="E14" i="51" s="1"/>
  <c r="F14" i="51" s="1"/>
  <c r="D13" i="51"/>
  <c r="E13" i="51" s="1"/>
  <c r="F13" i="51" s="1"/>
  <c r="L13" i="51" s="1"/>
  <c r="D12" i="51"/>
  <c r="E12" i="51" s="1"/>
  <c r="F12" i="51" s="1"/>
  <c r="L12" i="51" s="1"/>
  <c r="D11" i="51"/>
  <c r="E11" i="51" s="1"/>
  <c r="F11" i="51" s="1"/>
  <c r="L11" i="51" s="1"/>
  <c r="D10" i="51"/>
  <c r="E10" i="51" s="1"/>
  <c r="F10" i="51" s="1"/>
  <c r="L10" i="51" s="1"/>
  <c r="D9" i="51"/>
  <c r="E9" i="51" s="1"/>
  <c r="F9" i="51" s="1"/>
  <c r="D8" i="51"/>
  <c r="E8" i="51" s="1"/>
  <c r="F8" i="51" s="1"/>
  <c r="D7" i="51"/>
  <c r="E7" i="51" s="1"/>
  <c r="F7" i="51" s="1"/>
  <c r="D6" i="51"/>
  <c r="D5" i="51"/>
  <c r="E5" i="51" s="1"/>
  <c r="F5" i="51" s="1"/>
  <c r="C26" i="51"/>
  <c r="B26" i="51"/>
  <c r="N28" i="6"/>
  <c r="K25" i="50"/>
  <c r="L25" i="50" s="1"/>
  <c r="M25" i="50" s="1"/>
  <c r="K24" i="50"/>
  <c r="L24" i="50" s="1"/>
  <c r="M24" i="50" s="1"/>
  <c r="K23" i="50"/>
  <c r="L23" i="50" s="1"/>
  <c r="M23" i="50" s="1"/>
  <c r="K22" i="50"/>
  <c r="L22" i="50" s="1"/>
  <c r="M22" i="50" s="1"/>
  <c r="K21" i="50"/>
  <c r="L21" i="50" s="1"/>
  <c r="M21" i="50" s="1"/>
  <c r="K20" i="50"/>
  <c r="L20" i="50" s="1"/>
  <c r="M20" i="50" s="1"/>
  <c r="K19" i="50"/>
  <c r="L19" i="50" s="1"/>
  <c r="M19" i="50" s="1"/>
  <c r="K18" i="50"/>
  <c r="L18" i="50" s="1"/>
  <c r="M18" i="50" s="1"/>
  <c r="K17" i="50"/>
  <c r="L17" i="50" s="1"/>
  <c r="M17" i="50" s="1"/>
  <c r="K16" i="50"/>
  <c r="L16" i="50" s="1"/>
  <c r="M16" i="50" s="1"/>
  <c r="K15" i="50"/>
  <c r="L15" i="50" s="1"/>
  <c r="M15" i="50" s="1"/>
  <c r="K14" i="50"/>
  <c r="L14" i="50" s="1"/>
  <c r="M14" i="50" s="1"/>
  <c r="K13" i="50"/>
  <c r="L13" i="50" s="1"/>
  <c r="M13" i="50" s="1"/>
  <c r="K12" i="50"/>
  <c r="L12" i="50" s="1"/>
  <c r="M12" i="50" s="1"/>
  <c r="K11" i="50"/>
  <c r="L11" i="50" s="1"/>
  <c r="M11" i="50" s="1"/>
  <c r="K10" i="50"/>
  <c r="L10" i="50" s="1"/>
  <c r="M10" i="50" s="1"/>
  <c r="K9" i="50"/>
  <c r="L9" i="50" s="1"/>
  <c r="M9" i="50" s="1"/>
  <c r="K8" i="50"/>
  <c r="L8" i="50" s="1"/>
  <c r="M8" i="50" s="1"/>
  <c r="K7" i="50"/>
  <c r="L7" i="50" s="1"/>
  <c r="M7" i="50" s="1"/>
  <c r="K6" i="50"/>
  <c r="L6" i="50" s="1"/>
  <c r="M6" i="50" s="1"/>
  <c r="K5" i="50"/>
  <c r="K26" i="50" l="1"/>
  <c r="D26" i="51"/>
  <c r="E6" i="51"/>
  <c r="F6" i="51" s="1"/>
  <c r="L9" i="51"/>
  <c r="G9" i="51"/>
  <c r="L22" i="51"/>
  <c r="G22" i="51"/>
  <c r="L15" i="51"/>
  <c r="G15" i="51"/>
  <c r="L24" i="51"/>
  <c r="G24" i="51"/>
  <c r="L25" i="51"/>
  <c r="G25" i="51"/>
  <c r="L16" i="51"/>
  <c r="G16" i="51"/>
  <c r="L14" i="51"/>
  <c r="G14" i="51"/>
  <c r="L7" i="51"/>
  <c r="G7" i="51"/>
  <c r="L23" i="51"/>
  <c r="G23" i="51"/>
  <c r="L17" i="51"/>
  <c r="G17" i="51"/>
  <c r="L8" i="51"/>
  <c r="G8" i="51"/>
  <c r="O11" i="51"/>
  <c r="P11" i="51" s="1"/>
  <c r="Q11" i="51" s="1"/>
  <c r="M11" i="51"/>
  <c r="O12" i="51"/>
  <c r="P12" i="51" s="1"/>
  <c r="Q12" i="51" s="1"/>
  <c r="M12" i="51"/>
  <c r="O19" i="51"/>
  <c r="P19" i="51" s="1"/>
  <c r="Q19" i="51" s="1"/>
  <c r="M19" i="51"/>
  <c r="M21" i="51"/>
  <c r="O21" i="51"/>
  <c r="P21" i="51" s="1"/>
  <c r="Q21" i="51" s="1"/>
  <c r="G11" i="51"/>
  <c r="G19" i="51"/>
  <c r="G5" i="51"/>
  <c r="O10" i="51"/>
  <c r="P10" i="51" s="1"/>
  <c r="Q10" i="51" s="1"/>
  <c r="M10" i="51"/>
  <c r="O20" i="51"/>
  <c r="P20" i="51" s="1"/>
  <c r="Q20" i="51" s="1"/>
  <c r="M20" i="51"/>
  <c r="M13" i="51"/>
  <c r="O13" i="51"/>
  <c r="P13" i="51" s="1"/>
  <c r="Q13" i="51" s="1"/>
  <c r="G18" i="51"/>
  <c r="G12" i="51"/>
  <c r="G20" i="51"/>
  <c r="O18" i="51"/>
  <c r="P18" i="51" s="1"/>
  <c r="Q18" i="51" s="1"/>
  <c r="M18" i="51"/>
  <c r="M5" i="51"/>
  <c r="R5" i="51" s="1"/>
  <c r="O5" i="51"/>
  <c r="G10" i="51"/>
  <c r="G13" i="51"/>
  <c r="G21" i="51"/>
  <c r="L5" i="50"/>
  <c r="N18" i="51" l="1"/>
  <c r="R18" i="51"/>
  <c r="N10" i="51"/>
  <c r="R10" i="51"/>
  <c r="N12" i="51"/>
  <c r="R12" i="51"/>
  <c r="N11" i="51"/>
  <c r="R11" i="51"/>
  <c r="N13" i="51"/>
  <c r="R13" i="51"/>
  <c r="N20" i="51"/>
  <c r="R20" i="51"/>
  <c r="N21" i="51"/>
  <c r="R21" i="51"/>
  <c r="N19" i="51"/>
  <c r="R19" i="51"/>
  <c r="K18" i="51"/>
  <c r="H18" i="51"/>
  <c r="I18" i="51" s="1"/>
  <c r="J18" i="51" s="1"/>
  <c r="K19" i="51"/>
  <c r="H19" i="51"/>
  <c r="I19" i="51" s="1"/>
  <c r="J19" i="51" s="1"/>
  <c r="M7" i="51"/>
  <c r="O7" i="51"/>
  <c r="P7" i="51" s="1"/>
  <c r="Q7" i="51" s="1"/>
  <c r="K8" i="51"/>
  <c r="H8" i="51"/>
  <c r="I8" i="51" s="1"/>
  <c r="J8" i="51" s="1"/>
  <c r="K14" i="51"/>
  <c r="H14" i="51"/>
  <c r="I14" i="51" s="1"/>
  <c r="J14" i="51" s="1"/>
  <c r="K15" i="51"/>
  <c r="H15" i="51"/>
  <c r="I15" i="51" s="1"/>
  <c r="J15" i="51" s="1"/>
  <c r="M8" i="51"/>
  <c r="O8" i="51"/>
  <c r="P8" i="51" s="1"/>
  <c r="Q8" i="51" s="1"/>
  <c r="M14" i="51"/>
  <c r="O14" i="51"/>
  <c r="P14" i="51" s="1"/>
  <c r="Q14" i="51" s="1"/>
  <c r="M15" i="51"/>
  <c r="O15" i="51"/>
  <c r="P15" i="51" s="1"/>
  <c r="Q15" i="51" s="1"/>
  <c r="M22" i="51"/>
  <c r="O22" i="51"/>
  <c r="P22" i="51" s="1"/>
  <c r="Q22" i="51" s="1"/>
  <c r="K10" i="51"/>
  <c r="H10" i="51"/>
  <c r="I10" i="51" s="1"/>
  <c r="J10" i="51" s="1"/>
  <c r="K7" i="51"/>
  <c r="H7" i="51"/>
  <c r="I7" i="51" s="1"/>
  <c r="J7" i="51" s="1"/>
  <c r="P5" i="51"/>
  <c r="M24" i="51"/>
  <c r="O24" i="51"/>
  <c r="P24" i="51" s="1"/>
  <c r="Q24" i="51" s="1"/>
  <c r="N5" i="51"/>
  <c r="K17" i="51"/>
  <c r="H17" i="51"/>
  <c r="I17" i="51" s="1"/>
  <c r="J17" i="51" s="1"/>
  <c r="K16" i="51"/>
  <c r="H16" i="51"/>
  <c r="I16" i="51" s="1"/>
  <c r="J16" i="51" s="1"/>
  <c r="K22" i="51"/>
  <c r="H22" i="51"/>
  <c r="I22" i="51" s="1"/>
  <c r="J22" i="51" s="1"/>
  <c r="K20" i="51"/>
  <c r="H20" i="51"/>
  <c r="I20" i="51" s="1"/>
  <c r="J20" i="51" s="1"/>
  <c r="O17" i="51"/>
  <c r="P17" i="51" s="1"/>
  <c r="Q17" i="51" s="1"/>
  <c r="M17" i="51"/>
  <c r="M16" i="51"/>
  <c r="O16" i="51"/>
  <c r="P16" i="51" s="1"/>
  <c r="Q16" i="51" s="1"/>
  <c r="K21" i="51"/>
  <c r="H21" i="51"/>
  <c r="I21" i="51" s="1"/>
  <c r="J21" i="51" s="1"/>
  <c r="K12" i="51"/>
  <c r="H12" i="51"/>
  <c r="I12" i="51" s="1"/>
  <c r="J12" i="51" s="1"/>
  <c r="K23" i="51"/>
  <c r="H23" i="51"/>
  <c r="I23" i="51" s="1"/>
  <c r="J23" i="51" s="1"/>
  <c r="K25" i="51"/>
  <c r="H25" i="51"/>
  <c r="I25" i="51" s="1"/>
  <c r="J25" i="51" s="1"/>
  <c r="K9" i="51"/>
  <c r="H9" i="51"/>
  <c r="I9" i="51" s="1"/>
  <c r="J9" i="51" s="1"/>
  <c r="K24" i="51"/>
  <c r="H24" i="51"/>
  <c r="I24" i="51" s="1"/>
  <c r="J24" i="51" s="1"/>
  <c r="K11" i="51"/>
  <c r="H11" i="51"/>
  <c r="I11" i="51" s="1"/>
  <c r="J11" i="51" s="1"/>
  <c r="K13" i="51"/>
  <c r="H13" i="51"/>
  <c r="I13" i="51" s="1"/>
  <c r="J13" i="51" s="1"/>
  <c r="E26" i="51"/>
  <c r="H5" i="51"/>
  <c r="K5" i="51"/>
  <c r="M23" i="51"/>
  <c r="O23" i="51"/>
  <c r="P23" i="51" s="1"/>
  <c r="Q23" i="51" s="1"/>
  <c r="O25" i="51"/>
  <c r="P25" i="51" s="1"/>
  <c r="Q25" i="51" s="1"/>
  <c r="M25" i="51"/>
  <c r="O9" i="51"/>
  <c r="P9" i="51" s="1"/>
  <c r="Q9" i="51" s="1"/>
  <c r="M9" i="51"/>
  <c r="M5" i="50"/>
  <c r="M26" i="50" s="1"/>
  <c r="L26" i="50"/>
  <c r="C99" i="49"/>
  <c r="P72" i="49"/>
  <c r="O72" i="49"/>
  <c r="N72" i="49"/>
  <c r="I72" i="49"/>
  <c r="P71" i="49"/>
  <c r="O71" i="49"/>
  <c r="N71" i="49"/>
  <c r="I71" i="49"/>
  <c r="P70" i="49"/>
  <c r="O70" i="49"/>
  <c r="N70" i="49"/>
  <c r="I70" i="49"/>
  <c r="P69" i="49"/>
  <c r="O69" i="49"/>
  <c r="N69" i="49"/>
  <c r="I69" i="49"/>
  <c r="P68" i="49"/>
  <c r="O68" i="49"/>
  <c r="N68" i="49"/>
  <c r="I68" i="49"/>
  <c r="P67" i="49"/>
  <c r="O67" i="49"/>
  <c r="N67" i="49"/>
  <c r="I67" i="49"/>
  <c r="P66" i="49"/>
  <c r="O66" i="49"/>
  <c r="N66" i="49"/>
  <c r="I66" i="49"/>
  <c r="P65" i="49"/>
  <c r="O65" i="49"/>
  <c r="N65" i="49"/>
  <c r="I65" i="49"/>
  <c r="P64" i="49"/>
  <c r="O64" i="49"/>
  <c r="N64" i="49"/>
  <c r="I64" i="49"/>
  <c r="P63" i="49"/>
  <c r="O63" i="49"/>
  <c r="N63" i="49"/>
  <c r="I63" i="49"/>
  <c r="P62" i="49"/>
  <c r="O62" i="49"/>
  <c r="N62" i="49"/>
  <c r="I62" i="49"/>
  <c r="P61" i="49"/>
  <c r="O61" i="49"/>
  <c r="N61" i="49"/>
  <c r="I61" i="49"/>
  <c r="P60" i="49"/>
  <c r="O60" i="49"/>
  <c r="N60" i="49"/>
  <c r="I60" i="49"/>
  <c r="P59" i="49"/>
  <c r="O59" i="49"/>
  <c r="N59" i="49"/>
  <c r="I59" i="49"/>
  <c r="P58" i="49"/>
  <c r="O58" i="49"/>
  <c r="N58" i="49"/>
  <c r="I58" i="49"/>
  <c r="P57" i="49"/>
  <c r="O57" i="49"/>
  <c r="N57" i="49"/>
  <c r="I57" i="49"/>
  <c r="P56" i="49"/>
  <c r="O56" i="49"/>
  <c r="N56" i="49"/>
  <c r="I56" i="49"/>
  <c r="P55" i="49"/>
  <c r="O55" i="49"/>
  <c r="N55" i="49"/>
  <c r="I55" i="49"/>
  <c r="P54" i="49"/>
  <c r="O54" i="49"/>
  <c r="N54" i="49"/>
  <c r="I54" i="49"/>
  <c r="P53" i="49"/>
  <c r="O53" i="49"/>
  <c r="N53" i="49"/>
  <c r="I53" i="49"/>
  <c r="P52" i="49"/>
  <c r="O52" i="49"/>
  <c r="N52" i="49"/>
  <c r="I52" i="49"/>
  <c r="O20" i="49"/>
  <c r="N20" i="49"/>
  <c r="N19" i="49"/>
  <c r="M19" i="49"/>
  <c r="N18" i="49"/>
  <c r="M18" i="49"/>
  <c r="N17" i="49"/>
  <c r="M17" i="49"/>
  <c r="N16" i="49"/>
  <c r="M16" i="49"/>
  <c r="N15" i="49"/>
  <c r="M15" i="49"/>
  <c r="N14" i="49"/>
  <c r="M14" i="49"/>
  <c r="N13" i="49"/>
  <c r="M13" i="49"/>
  <c r="N12" i="49"/>
  <c r="M12" i="49"/>
  <c r="N11" i="49"/>
  <c r="M11" i="49"/>
  <c r="N10" i="49"/>
  <c r="M10" i="49"/>
  <c r="N9" i="49"/>
  <c r="M9" i="49"/>
  <c r="N8" i="49"/>
  <c r="M8" i="49"/>
  <c r="N7" i="49"/>
  <c r="M7" i="49"/>
  <c r="N21" i="49" l="1"/>
  <c r="I73" i="49"/>
  <c r="N25" i="51"/>
  <c r="R25" i="51"/>
  <c r="N16" i="51"/>
  <c r="R16" i="51"/>
  <c r="N14" i="51"/>
  <c r="R14" i="51"/>
  <c r="N17" i="51"/>
  <c r="R17" i="51"/>
  <c r="N7" i="51"/>
  <c r="R7" i="51"/>
  <c r="N22" i="51"/>
  <c r="R22" i="51"/>
  <c r="N8" i="51"/>
  <c r="R8" i="51"/>
  <c r="N23" i="51"/>
  <c r="R23" i="51"/>
  <c r="N24" i="51"/>
  <c r="R24" i="51"/>
  <c r="N9" i="51"/>
  <c r="R9" i="51"/>
  <c r="N15" i="51"/>
  <c r="R15" i="51"/>
  <c r="I5" i="51"/>
  <c r="L6" i="51"/>
  <c r="G6" i="51"/>
  <c r="F26" i="51"/>
  <c r="Q5" i="51"/>
  <c r="E83" i="6"/>
  <c r="E84" i="6"/>
  <c r="D83" i="6"/>
  <c r="D84" i="6"/>
  <c r="C83" i="6"/>
  <c r="C84" i="6"/>
  <c r="K6" i="51" l="1"/>
  <c r="K26" i="51" s="1"/>
  <c r="H6" i="51"/>
  <c r="G26" i="51"/>
  <c r="J5" i="51"/>
  <c r="M6" i="51"/>
  <c r="R6" i="51" s="1"/>
  <c r="R26" i="51" s="1"/>
  <c r="O6" i="51"/>
  <c r="L26" i="51"/>
  <c r="B35" i="26"/>
  <c r="B35" i="25"/>
  <c r="B35" i="24"/>
  <c r="B35" i="23"/>
  <c r="B35" i="22"/>
  <c r="B35" i="21"/>
  <c r="B35" i="13"/>
  <c r="B35" i="11"/>
  <c r="B35" i="10"/>
  <c r="B35" i="9"/>
  <c r="B35" i="8"/>
  <c r="B35" i="7"/>
  <c r="B35" i="16"/>
  <c r="B35" i="17"/>
  <c r="B35" i="15"/>
  <c r="B35" i="18"/>
  <c r="B35" i="19"/>
  <c r="B35" i="20"/>
  <c r="B35" i="14"/>
  <c r="B35" i="12"/>
  <c r="B35" i="5"/>
  <c r="B6" i="5"/>
  <c r="B7" i="5"/>
  <c r="B8" i="5"/>
  <c r="B9" i="5"/>
  <c r="B15" i="5"/>
  <c r="B16" i="5"/>
  <c r="B17" i="5"/>
  <c r="B18" i="5"/>
  <c r="B19" i="5"/>
  <c r="B20" i="5"/>
  <c r="B21" i="5"/>
  <c r="P6" i="51" l="1"/>
  <c r="O26" i="51"/>
  <c r="N6" i="51"/>
  <c r="N26" i="51" s="1"/>
  <c r="M26" i="51"/>
  <c r="I6" i="51"/>
  <c r="H26" i="51"/>
  <c r="C82" i="6"/>
  <c r="Q6" i="51" l="1"/>
  <c r="Q26" i="51" s="1"/>
  <c r="P26" i="51"/>
  <c r="J6" i="51"/>
  <c r="J26" i="51" s="1"/>
  <c r="I26" i="51"/>
  <c r="C4" i="46"/>
  <c r="C4" i="45"/>
  <c r="B15" i="30" l="1"/>
  <c r="AE8" i="6" l="1"/>
  <c r="C7" i="48" s="1"/>
  <c r="D7" i="48" s="1"/>
  <c r="E7" i="48" s="1"/>
  <c r="AE9" i="6"/>
  <c r="C8" i="48" s="1"/>
  <c r="D8" i="48" s="1"/>
  <c r="E8" i="48" s="1"/>
  <c r="AE10" i="6"/>
  <c r="C9" i="48" s="1"/>
  <c r="D9" i="48" s="1"/>
  <c r="E9" i="48" s="1"/>
  <c r="AE11" i="6"/>
  <c r="C10" i="48" s="1"/>
  <c r="D10" i="48" s="1"/>
  <c r="E10" i="48" s="1"/>
  <c r="AE12" i="6"/>
  <c r="C11" i="48" s="1"/>
  <c r="D11" i="48" s="1"/>
  <c r="E11" i="48" s="1"/>
  <c r="AE13" i="6"/>
  <c r="C12" i="48" s="1"/>
  <c r="D12" i="48" s="1"/>
  <c r="E12" i="48" s="1"/>
  <c r="AE14" i="6"/>
  <c r="C13" i="48" s="1"/>
  <c r="D13" i="48" s="1"/>
  <c r="E13" i="48" s="1"/>
  <c r="AE15" i="6"/>
  <c r="C14" i="48" s="1"/>
  <c r="D14" i="48" s="1"/>
  <c r="E14" i="48" s="1"/>
  <c r="AE16" i="6"/>
  <c r="C15" i="48" s="1"/>
  <c r="D15" i="48" s="1"/>
  <c r="E15" i="48" s="1"/>
  <c r="AE17" i="6"/>
  <c r="C16" i="48" s="1"/>
  <c r="D16" i="48" s="1"/>
  <c r="E16" i="48" s="1"/>
  <c r="AE18" i="6"/>
  <c r="C17" i="48" s="1"/>
  <c r="D17" i="48" s="1"/>
  <c r="E17" i="48" s="1"/>
  <c r="AE19" i="6"/>
  <c r="C18" i="48" s="1"/>
  <c r="D18" i="48" s="1"/>
  <c r="E18" i="48" s="1"/>
  <c r="AE20" i="6"/>
  <c r="C19" i="48" s="1"/>
  <c r="D19" i="48" s="1"/>
  <c r="E19" i="48" s="1"/>
  <c r="AE21" i="6"/>
  <c r="C20" i="48" s="1"/>
  <c r="D20" i="48" s="1"/>
  <c r="E20" i="48" s="1"/>
  <c r="AE22" i="6"/>
  <c r="C21" i="48" s="1"/>
  <c r="D21" i="48" s="1"/>
  <c r="E21" i="48" s="1"/>
  <c r="AE23" i="6"/>
  <c r="C22" i="48" s="1"/>
  <c r="D22" i="48" s="1"/>
  <c r="E22" i="48" s="1"/>
  <c r="AE24" i="6"/>
  <c r="C23" i="48" s="1"/>
  <c r="D23" i="48" s="1"/>
  <c r="E23" i="48" s="1"/>
  <c r="AE25" i="6"/>
  <c r="C24" i="48" s="1"/>
  <c r="D24" i="48" s="1"/>
  <c r="E24" i="48" s="1"/>
  <c r="AE26" i="6"/>
  <c r="C25" i="48" s="1"/>
  <c r="D25" i="48" s="1"/>
  <c r="E25" i="48" s="1"/>
  <c r="AE27" i="6"/>
  <c r="C26" i="48" s="1"/>
  <c r="D26" i="48" s="1"/>
  <c r="E26" i="48" s="1"/>
  <c r="AE7" i="6"/>
  <c r="C6" i="48" s="1"/>
  <c r="D6" i="48" s="1"/>
  <c r="E6" i="48" s="1"/>
  <c r="E27" i="48" s="1"/>
  <c r="AD28" i="6"/>
  <c r="AC28" i="6"/>
  <c r="C60" i="5" l="1"/>
  <c r="C60" i="18"/>
  <c r="C60" i="11"/>
  <c r="C60" i="15"/>
  <c r="C60" i="13"/>
  <c r="C60" i="16"/>
  <c r="C60" i="22"/>
  <c r="AE28" i="6"/>
  <c r="C60" i="17"/>
  <c r="C60" i="21"/>
  <c r="C27" i="48"/>
  <c r="C60" i="14"/>
  <c r="C60" i="8"/>
  <c r="C60" i="24"/>
  <c r="C60" i="12"/>
  <c r="C60" i="23"/>
  <c r="C60" i="20"/>
  <c r="C60" i="9"/>
  <c r="C60" i="25"/>
  <c r="C60" i="7"/>
  <c r="C60" i="19"/>
  <c r="C60" i="10"/>
  <c r="C60" i="26"/>
  <c r="E40" i="42"/>
  <c r="V7" i="43" l="1"/>
  <c r="V8" i="43"/>
  <c r="V9" i="43"/>
  <c r="V10" i="43"/>
  <c r="V11" i="43"/>
  <c r="V12" i="43"/>
  <c r="V13" i="43"/>
  <c r="V14" i="43"/>
  <c r="V15" i="43"/>
  <c r="V16" i="43"/>
  <c r="V17" i="43"/>
  <c r="V18" i="43"/>
  <c r="V19" i="43"/>
  <c r="V20" i="43"/>
  <c r="V21" i="43"/>
  <c r="V22" i="43"/>
  <c r="V23" i="43"/>
  <c r="V24" i="43"/>
  <c r="V25" i="43"/>
  <c r="V26" i="43"/>
  <c r="V6" i="43"/>
  <c r="L7" i="43" l="1"/>
  <c r="L8" i="43"/>
  <c r="L9" i="43"/>
  <c r="L10" i="43"/>
  <c r="L11" i="43"/>
  <c r="L12" i="43"/>
  <c r="L13" i="43"/>
  <c r="L14" i="43"/>
  <c r="L15" i="43"/>
  <c r="L16" i="43"/>
  <c r="L17" i="43"/>
  <c r="L18" i="43"/>
  <c r="L19" i="43"/>
  <c r="L20" i="43"/>
  <c r="L21" i="43"/>
  <c r="L22" i="43"/>
  <c r="L23" i="43"/>
  <c r="L24" i="43"/>
  <c r="L25" i="43"/>
  <c r="L26" i="43"/>
  <c r="L6" i="43"/>
  <c r="AG31" i="27"/>
  <c r="AH31" i="27"/>
  <c r="AI31" i="27"/>
  <c r="AF31" i="27"/>
  <c r="AH18" i="27"/>
  <c r="AG17" i="27"/>
  <c r="L27" i="43" l="1"/>
  <c r="G3" i="47"/>
  <c r="G4" i="47"/>
  <c r="G5" i="47"/>
  <c r="G6" i="47"/>
  <c r="G7" i="47"/>
  <c r="G8" i="47"/>
  <c r="G9" i="47"/>
  <c r="G10" i="47"/>
  <c r="G11" i="47"/>
  <c r="G12" i="47"/>
  <c r="G13" i="47"/>
  <c r="G14" i="47"/>
  <c r="G15" i="47"/>
  <c r="G16" i="47"/>
  <c r="G17" i="47"/>
  <c r="G18" i="47"/>
  <c r="G19" i="47"/>
  <c r="G20" i="47"/>
  <c r="G21" i="47"/>
  <c r="G22" i="47"/>
  <c r="G23" i="47"/>
  <c r="G24" i="47"/>
  <c r="G25" i="47"/>
  <c r="G26" i="47"/>
  <c r="G27" i="47"/>
  <c r="G28" i="47"/>
  <c r="G29" i="47"/>
  <c r="G30" i="47"/>
  <c r="G31" i="47"/>
  <c r="G32" i="47"/>
  <c r="G33" i="47"/>
  <c r="G34" i="47"/>
  <c r="G35" i="47"/>
  <c r="A26" i="30" l="1"/>
  <c r="BE29" i="27"/>
  <c r="BF29" i="27"/>
  <c r="BG29" i="27"/>
  <c r="BD29" i="27"/>
  <c r="A25" i="30"/>
  <c r="A26" i="31"/>
  <c r="B29" i="27"/>
  <c r="AR52" i="27"/>
  <c r="AS52" i="27"/>
  <c r="AT52" i="27"/>
  <c r="AU52" i="27"/>
  <c r="AR53" i="27"/>
  <c r="AS53" i="27"/>
  <c r="AT53" i="27"/>
  <c r="AU53" i="27"/>
  <c r="AS51" i="27"/>
  <c r="AT51" i="27"/>
  <c r="AU51" i="27"/>
  <c r="AR51" i="27"/>
  <c r="AS47" i="27"/>
  <c r="AT47" i="27"/>
  <c r="AU47" i="27"/>
  <c r="AR47" i="27"/>
  <c r="AS45" i="27"/>
  <c r="AT45" i="27"/>
  <c r="AU45" i="27"/>
  <c r="AR45" i="27"/>
  <c r="AR36" i="27"/>
  <c r="AS36" i="27"/>
  <c r="AT36" i="27"/>
  <c r="AU36" i="27"/>
  <c r="AR37" i="27"/>
  <c r="AS37" i="27"/>
  <c r="AT37" i="27"/>
  <c r="AU37" i="27"/>
  <c r="AR38" i="27"/>
  <c r="AS38" i="27"/>
  <c r="AT38" i="27"/>
  <c r="AU38" i="27"/>
  <c r="AR39" i="27"/>
  <c r="AS39" i="27"/>
  <c r="AT39" i="27"/>
  <c r="AU39" i="27"/>
  <c r="AS35" i="27"/>
  <c r="AT35" i="27"/>
  <c r="AU35" i="27"/>
  <c r="AR35" i="27"/>
  <c r="AS32" i="27"/>
  <c r="AT32" i="27"/>
  <c r="AU32" i="27"/>
  <c r="AR32" i="27"/>
  <c r="AS31" i="27"/>
  <c r="AT31" i="27"/>
  <c r="AU31" i="27"/>
  <c r="AS30" i="27"/>
  <c r="AT30" i="27"/>
  <c r="AU30" i="27"/>
  <c r="AR30" i="27"/>
  <c r="AR31" i="27"/>
  <c r="AU25" i="27"/>
  <c r="AU26" i="27"/>
  <c r="AU27" i="27"/>
  <c r="AT25" i="27"/>
  <c r="AT26" i="27"/>
  <c r="AT27" i="27"/>
  <c r="AS25" i="27"/>
  <c r="AS26" i="27"/>
  <c r="AS27" i="27"/>
  <c r="AS24" i="27"/>
  <c r="AT24" i="27"/>
  <c r="AU24" i="27"/>
  <c r="AR25" i="27"/>
  <c r="AR26" i="27"/>
  <c r="AR27" i="27"/>
  <c r="AR24" i="27"/>
  <c r="AU15" i="27"/>
  <c r="AU16" i="27"/>
  <c r="AU17" i="27"/>
  <c r="AU18" i="27"/>
  <c r="AU19" i="27"/>
  <c r="AU20" i="27"/>
  <c r="AU21" i="27"/>
  <c r="AU22" i="27"/>
  <c r="AT15" i="27"/>
  <c r="AT16" i="27"/>
  <c r="AT17" i="27"/>
  <c r="AT18" i="27"/>
  <c r="AT19" i="27"/>
  <c r="AT20" i="27"/>
  <c r="AT21" i="27"/>
  <c r="AT22" i="27"/>
  <c r="AS15" i="27"/>
  <c r="AS16" i="27"/>
  <c r="AS17" i="27"/>
  <c r="AS18" i="27"/>
  <c r="AS19" i="27"/>
  <c r="AS20" i="27"/>
  <c r="AS21" i="27"/>
  <c r="AS22" i="27"/>
  <c r="AR15" i="27"/>
  <c r="AR16" i="27"/>
  <c r="AR17" i="27"/>
  <c r="AR18" i="27"/>
  <c r="AR19" i="27"/>
  <c r="AR20" i="27"/>
  <c r="AR21" i="27"/>
  <c r="AR22" i="27"/>
  <c r="AS14" i="27"/>
  <c r="AT14" i="27"/>
  <c r="AU14" i="27"/>
  <c r="AR14" i="27"/>
  <c r="AR12" i="27"/>
  <c r="AK45" i="27"/>
  <c r="AL45" i="27"/>
  <c r="AM45" i="27"/>
  <c r="AK47" i="27"/>
  <c r="AL47" i="27"/>
  <c r="AM47" i="27"/>
  <c r="AK53" i="27"/>
  <c r="AL53" i="27"/>
  <c r="AM53" i="27"/>
  <c r="AK52" i="27"/>
  <c r="AL52" i="27"/>
  <c r="AM52" i="27"/>
  <c r="AK51" i="27"/>
  <c r="AL51" i="27"/>
  <c r="AM51" i="27"/>
  <c r="AJ53" i="27"/>
  <c r="AJ52" i="27"/>
  <c r="AJ51" i="27"/>
  <c r="AJ47" i="27"/>
  <c r="AJ45" i="27"/>
  <c r="AK22" i="27"/>
  <c r="AL22" i="27"/>
  <c r="AM22" i="27"/>
  <c r="AJ22" i="27"/>
  <c r="AG53" i="27"/>
  <c r="AH53" i="27"/>
  <c r="AI53" i="27"/>
  <c r="AG52" i="27"/>
  <c r="AH52" i="27"/>
  <c r="AI52" i="27"/>
  <c r="AG51" i="27"/>
  <c r="AH51" i="27"/>
  <c r="AI51" i="27"/>
  <c r="AG47" i="27"/>
  <c r="AH47" i="27"/>
  <c r="AI47" i="27"/>
  <c r="AG45" i="27"/>
  <c r="AH45" i="27"/>
  <c r="AI45" i="27"/>
  <c r="AG39" i="27"/>
  <c r="AH39" i="27"/>
  <c r="AI39" i="27"/>
  <c r="AG38" i="27"/>
  <c r="AH38" i="27"/>
  <c r="AI38" i="27"/>
  <c r="AG37" i="27"/>
  <c r="AH37" i="27"/>
  <c r="AI37" i="27"/>
  <c r="AG36" i="27"/>
  <c r="AH36" i="27"/>
  <c r="AI36" i="27"/>
  <c r="AG35" i="27"/>
  <c r="AH35" i="27"/>
  <c r="AI35" i="27"/>
  <c r="AG32" i="27"/>
  <c r="AH32" i="27"/>
  <c r="AI32" i="27"/>
  <c r="AG30" i="27"/>
  <c r="AH30" i="27"/>
  <c r="AI30" i="27"/>
  <c r="AG27" i="27"/>
  <c r="AH27" i="27"/>
  <c r="AI27" i="27"/>
  <c r="AG26" i="27"/>
  <c r="AH26" i="27"/>
  <c r="AI26" i="27"/>
  <c r="AG25" i="27"/>
  <c r="AH25" i="27"/>
  <c r="AI25" i="27"/>
  <c r="AG24" i="27"/>
  <c r="AH24" i="27"/>
  <c r="AI24" i="27"/>
  <c r="AG22" i="27"/>
  <c r="AH22" i="27"/>
  <c r="AI22" i="27"/>
  <c r="AG21" i="27"/>
  <c r="AH21" i="27"/>
  <c r="AI21" i="27"/>
  <c r="AG20" i="27"/>
  <c r="AH20" i="27"/>
  <c r="AI20" i="27"/>
  <c r="AG19" i="27"/>
  <c r="AH19" i="27"/>
  <c r="AI19" i="27"/>
  <c r="AG18" i="27"/>
  <c r="AI18" i="27"/>
  <c r="AH17" i="27"/>
  <c r="AI17" i="27"/>
  <c r="AG16" i="27"/>
  <c r="AH16" i="27"/>
  <c r="AI16" i="27"/>
  <c r="AF53" i="27"/>
  <c r="AF52" i="27"/>
  <c r="AF51" i="27"/>
  <c r="AF47" i="27"/>
  <c r="AF45" i="27"/>
  <c r="AF39" i="27"/>
  <c r="AF38" i="27"/>
  <c r="AF37" i="27"/>
  <c r="AF36" i="27"/>
  <c r="AF35" i="27"/>
  <c r="AF32" i="27"/>
  <c r="AF30" i="27"/>
  <c r="AF27" i="27"/>
  <c r="AF26" i="27"/>
  <c r="AF25" i="27"/>
  <c r="AF24" i="27"/>
  <c r="AF22" i="27"/>
  <c r="AF21" i="27"/>
  <c r="AF20" i="27"/>
  <c r="AF19" i="27"/>
  <c r="AF18" i="27"/>
  <c r="AF17" i="27"/>
  <c r="AF16" i="27"/>
  <c r="AG15" i="27"/>
  <c r="AH15" i="27"/>
  <c r="AI15" i="27"/>
  <c r="AG14" i="27"/>
  <c r="AH14" i="27"/>
  <c r="AI14" i="27"/>
  <c r="AF15" i="27"/>
  <c r="AF14" i="27"/>
  <c r="AG12" i="27"/>
  <c r="AH12" i="27"/>
  <c r="AI12" i="27"/>
  <c r="AF12" i="27"/>
  <c r="AN12" i="27"/>
  <c r="A25" i="31" l="1"/>
  <c r="B31" i="5"/>
  <c r="B28" i="27"/>
  <c r="I27" i="43"/>
  <c r="W14" i="43" l="1"/>
  <c r="W7" i="43"/>
  <c r="W23" i="43"/>
  <c r="W16" i="43"/>
  <c r="W25" i="43"/>
  <c r="W26" i="43"/>
  <c r="W19" i="43"/>
  <c r="W12" i="43"/>
  <c r="W20" i="43"/>
  <c r="W13" i="43"/>
  <c r="W21" i="43"/>
  <c r="W22" i="43"/>
  <c r="W15" i="43"/>
  <c r="C26" i="44" l="1"/>
  <c r="M26" i="43"/>
  <c r="N26" i="43" s="1"/>
  <c r="Q26" i="43" s="1"/>
  <c r="H7" i="43"/>
  <c r="H8" i="43"/>
  <c r="T8" i="43" s="1"/>
  <c r="W8" i="43" s="1"/>
  <c r="H9" i="43"/>
  <c r="H10" i="43"/>
  <c r="H11" i="43"/>
  <c r="T11" i="43" s="1"/>
  <c r="W11" i="43" s="1"/>
  <c r="H12" i="43"/>
  <c r="H13" i="43"/>
  <c r="H14" i="43"/>
  <c r="H15" i="43"/>
  <c r="H16" i="43"/>
  <c r="H17" i="43"/>
  <c r="T17" i="43" s="1"/>
  <c r="W17" i="43" s="1"/>
  <c r="H18" i="43"/>
  <c r="T18" i="43" s="1"/>
  <c r="W18" i="43" s="1"/>
  <c r="H19" i="43"/>
  <c r="H20" i="43"/>
  <c r="H21" i="43"/>
  <c r="H22" i="43"/>
  <c r="H23" i="43"/>
  <c r="H24" i="43"/>
  <c r="T24" i="43" s="1"/>
  <c r="W24" i="43" s="1"/>
  <c r="H25" i="43"/>
  <c r="H26" i="43"/>
  <c r="H6" i="43"/>
  <c r="T6" i="43" s="1"/>
  <c r="W6" i="43" s="1"/>
  <c r="C7" i="43"/>
  <c r="F7" i="43" s="1"/>
  <c r="C8" i="43"/>
  <c r="E8" i="43" s="1"/>
  <c r="C9" i="43"/>
  <c r="E9" i="43" s="1"/>
  <c r="C10" i="43"/>
  <c r="E10" i="43" s="1"/>
  <c r="C11" i="43"/>
  <c r="F11" i="43" s="1"/>
  <c r="C12" i="43"/>
  <c r="F12" i="43" s="1"/>
  <c r="C13" i="43"/>
  <c r="F13" i="43" s="1"/>
  <c r="C14" i="43"/>
  <c r="F14" i="43" s="1"/>
  <c r="C15" i="43"/>
  <c r="F15" i="43" s="1"/>
  <c r="C16" i="43"/>
  <c r="E16" i="43" s="1"/>
  <c r="C17" i="43"/>
  <c r="F17" i="43" s="1"/>
  <c r="C18" i="43"/>
  <c r="E18" i="43" s="1"/>
  <c r="C19" i="43"/>
  <c r="E19" i="43" s="1"/>
  <c r="C20" i="43"/>
  <c r="E20" i="43" s="1"/>
  <c r="C21" i="43"/>
  <c r="F21" i="43" s="1"/>
  <c r="C22" i="43"/>
  <c r="F22" i="43" s="1"/>
  <c r="C23" i="43"/>
  <c r="F23" i="43" s="1"/>
  <c r="C24" i="43"/>
  <c r="C25" i="43"/>
  <c r="F25" i="43" s="1"/>
  <c r="C6" i="43"/>
  <c r="F26" i="44" l="1"/>
  <c r="Z26" i="44"/>
  <c r="AA26" i="44" s="1"/>
  <c r="S26" i="44"/>
  <c r="T26" i="44" s="1"/>
  <c r="E25" i="43"/>
  <c r="K10" i="43"/>
  <c r="T10" i="43"/>
  <c r="W10" i="43" s="1"/>
  <c r="J9" i="43"/>
  <c r="T9" i="43"/>
  <c r="W9" i="43" s="1"/>
  <c r="J22" i="43"/>
  <c r="J24" i="43"/>
  <c r="H27" i="43"/>
  <c r="F24" i="43"/>
  <c r="F8" i="43"/>
  <c r="E21" i="43"/>
  <c r="F9" i="43"/>
  <c r="E24" i="43"/>
  <c r="F16" i="43"/>
  <c r="K14" i="43"/>
  <c r="E22" i="43"/>
  <c r="J7" i="43"/>
  <c r="K7" i="43"/>
  <c r="F18" i="43"/>
  <c r="E17" i="43"/>
  <c r="J15" i="43"/>
  <c r="K22" i="43"/>
  <c r="K19" i="43"/>
  <c r="K26" i="43"/>
  <c r="J10" i="43"/>
  <c r="K17" i="43"/>
  <c r="K24" i="43"/>
  <c r="K16" i="43"/>
  <c r="K8" i="43"/>
  <c r="F10" i="43"/>
  <c r="J11" i="43"/>
  <c r="J18" i="43"/>
  <c r="F20" i="43"/>
  <c r="F6" i="43"/>
  <c r="E6" i="43"/>
  <c r="K25" i="43"/>
  <c r="E12" i="43"/>
  <c r="K23" i="43"/>
  <c r="K9" i="43"/>
  <c r="J21" i="43"/>
  <c r="J13" i="43"/>
  <c r="J6" i="43"/>
  <c r="J20" i="43"/>
  <c r="J12" i="43"/>
  <c r="K15" i="43"/>
  <c r="G26" i="44"/>
  <c r="K21" i="43"/>
  <c r="K13" i="43"/>
  <c r="P26" i="43"/>
  <c r="J17" i="43"/>
  <c r="F19" i="43"/>
  <c r="K20" i="43"/>
  <c r="K12" i="43"/>
  <c r="E13" i="43"/>
  <c r="K18" i="43"/>
  <c r="K6" i="43"/>
  <c r="J25" i="43"/>
  <c r="K11" i="43"/>
  <c r="E7" i="43"/>
  <c r="E15" i="43"/>
  <c r="D26" i="43"/>
  <c r="D26" i="44"/>
  <c r="K26" i="44" s="1"/>
  <c r="J23" i="43"/>
  <c r="J8" i="43"/>
  <c r="J14" i="43"/>
  <c r="J16" i="43"/>
  <c r="J26" i="43"/>
  <c r="J19" i="43"/>
  <c r="E14" i="43"/>
  <c r="E23" i="43"/>
  <c r="E11" i="43"/>
  <c r="O26" i="43"/>
  <c r="AB26" i="44" l="1"/>
  <c r="AC26" i="44"/>
  <c r="AD26" i="44"/>
  <c r="G26" i="43"/>
  <c r="R26" i="43"/>
  <c r="W27" i="43"/>
  <c r="Y25" i="43" s="1"/>
  <c r="V26" i="44"/>
  <c r="U26" i="44"/>
  <c r="W26" i="44"/>
  <c r="Y6" i="43"/>
  <c r="Y10" i="43"/>
  <c r="H26" i="44"/>
  <c r="J26" i="44" s="1"/>
  <c r="E26" i="44"/>
  <c r="K27" i="43"/>
  <c r="J27" i="43"/>
  <c r="Y21" i="43" l="1"/>
  <c r="Y15" i="43"/>
  <c r="Y16" i="43"/>
  <c r="Y14" i="43"/>
  <c r="Y12" i="43"/>
  <c r="Y26" i="43"/>
  <c r="Y7" i="43"/>
  <c r="Y13" i="43"/>
  <c r="Y22" i="43"/>
  <c r="Y24" i="43"/>
  <c r="Y8" i="43"/>
  <c r="Y18" i="43"/>
  <c r="Y23" i="43"/>
  <c r="Y17" i="43"/>
  <c r="Y19" i="43"/>
  <c r="Y20" i="43"/>
  <c r="Y9" i="43"/>
  <c r="Y11" i="43"/>
  <c r="I26" i="44"/>
  <c r="A141" i="26"/>
  <c r="B32" i="26"/>
  <c r="B137" i="26"/>
  <c r="B137" i="25"/>
  <c r="A141" i="25"/>
  <c r="B32" i="25"/>
  <c r="B137" i="24"/>
  <c r="A141" i="24"/>
  <c r="B32" i="24"/>
  <c r="B137" i="23"/>
  <c r="A141" i="23"/>
  <c r="B32" i="23"/>
  <c r="B137" i="22"/>
  <c r="A141" i="22"/>
  <c r="B32" i="22"/>
  <c r="B137" i="21"/>
  <c r="A141" i="21"/>
  <c r="B32" i="21"/>
  <c r="B137" i="13"/>
  <c r="A141" i="13"/>
  <c r="B32" i="13"/>
  <c r="B137" i="11"/>
  <c r="A141" i="11"/>
  <c r="B32" i="11"/>
  <c r="B138" i="10"/>
  <c r="B137" i="10"/>
  <c r="A141" i="10"/>
  <c r="B32" i="10"/>
  <c r="B137" i="9" l="1"/>
  <c r="A141" i="9"/>
  <c r="B32" i="9"/>
  <c r="B137" i="8"/>
  <c r="B137" i="7"/>
  <c r="B137" i="16"/>
  <c r="B137" i="17"/>
  <c r="B137" i="15"/>
  <c r="B137" i="18"/>
  <c r="B137" i="19"/>
  <c r="B139" i="18"/>
  <c r="B137" i="20"/>
  <c r="B139" i="20"/>
  <c r="B137" i="14"/>
  <c r="B139" i="12"/>
  <c r="B137" i="12"/>
  <c r="B139" i="5"/>
  <c r="B137" i="5"/>
  <c r="A143" i="9" l="1"/>
  <c r="B31" i="27"/>
  <c r="A28" i="30"/>
  <c r="A28" i="31"/>
  <c r="A143" i="5"/>
  <c r="A143" i="26"/>
  <c r="A143" i="24"/>
  <c r="A143" i="23"/>
  <c r="A143" i="13"/>
  <c r="A143" i="11"/>
  <c r="A143" i="25"/>
  <c r="A143" i="10"/>
  <c r="A143" i="21"/>
  <c r="A143" i="22"/>
  <c r="A143" i="8"/>
  <c r="A143" i="16"/>
  <c r="A143" i="7"/>
  <c r="B34" i="16"/>
  <c r="A143" i="17"/>
  <c r="A143" i="15"/>
  <c r="A143" i="18"/>
  <c r="A143" i="19"/>
  <c r="A143" i="20"/>
  <c r="A143" i="14"/>
  <c r="A143" i="12"/>
  <c r="I44" i="6" l="1"/>
  <c r="K43" i="6"/>
  <c r="L43" i="6"/>
  <c r="J43" i="6"/>
  <c r="K42" i="6"/>
  <c r="L42" i="6"/>
  <c r="J42" i="6"/>
  <c r="K41" i="6"/>
  <c r="L41" i="6"/>
  <c r="J41" i="6"/>
  <c r="K44" i="6" l="1"/>
  <c r="J44" i="6"/>
  <c r="L44" i="6"/>
  <c r="M28" i="6"/>
  <c r="E82" i="6" l="1"/>
  <c r="D82" i="6"/>
  <c r="C134" i="24" l="1"/>
  <c r="C134" i="22"/>
  <c r="C134" i="11"/>
  <c r="C134" i="14"/>
  <c r="C132" i="26" l="1"/>
  <c r="C132" i="25"/>
  <c r="C132" i="24"/>
  <c r="C132" i="23"/>
  <c r="C132" i="22"/>
  <c r="C132" i="21"/>
  <c r="C132" i="13"/>
  <c r="C132" i="11"/>
  <c r="C132" i="10"/>
  <c r="C132" i="9"/>
  <c r="C132" i="8"/>
  <c r="C132" i="7"/>
  <c r="C132" i="16"/>
  <c r="C132" i="17"/>
  <c r="C132" i="15"/>
  <c r="C132" i="18"/>
  <c r="C132" i="19"/>
  <c r="C132" i="20"/>
  <c r="C132" i="14"/>
  <c r="C132" i="12"/>
  <c r="C132" i="5"/>
  <c r="X21" i="6" l="1"/>
  <c r="O17" i="49" s="1"/>
  <c r="C20" i="44" l="1"/>
  <c r="M20" i="43"/>
  <c r="C64" i="13"/>
  <c r="X26" i="6"/>
  <c r="X25" i="6"/>
  <c r="O19" i="49" s="1"/>
  <c r="X24" i="6"/>
  <c r="X23" i="6"/>
  <c r="O18" i="49" s="1"/>
  <c r="X22" i="6"/>
  <c r="X20" i="6"/>
  <c r="O16" i="49" s="1"/>
  <c r="X19" i="6"/>
  <c r="O15" i="49" s="1"/>
  <c r="X18" i="6"/>
  <c r="O14" i="49" s="1"/>
  <c r="X16" i="6"/>
  <c r="X17" i="6"/>
  <c r="X15" i="6"/>
  <c r="X14" i="6"/>
  <c r="O13" i="49" s="1"/>
  <c r="X13" i="6"/>
  <c r="X12" i="6"/>
  <c r="O12" i="49" s="1"/>
  <c r="X11" i="6"/>
  <c r="O11" i="49" s="1"/>
  <c r="X10" i="6"/>
  <c r="O10" i="49" s="1"/>
  <c r="X9" i="6"/>
  <c r="O9" i="49" s="1"/>
  <c r="X8" i="6"/>
  <c r="O8" i="49" s="1"/>
  <c r="X7" i="6"/>
  <c r="Z20" i="44" l="1"/>
  <c r="AA20" i="44" s="1"/>
  <c r="S20" i="44"/>
  <c r="T20" i="44" s="1"/>
  <c r="C6" i="44"/>
  <c r="O7" i="49"/>
  <c r="O21" i="49" s="1"/>
  <c r="C64" i="5"/>
  <c r="C64" i="15"/>
  <c r="C12" i="44"/>
  <c r="M12" i="43"/>
  <c r="M14" i="43"/>
  <c r="C14" i="44"/>
  <c r="C7" i="44"/>
  <c r="M7" i="43"/>
  <c r="C64" i="25"/>
  <c r="M25" i="43"/>
  <c r="C25" i="44"/>
  <c r="M13" i="43"/>
  <c r="C13" i="44"/>
  <c r="C64" i="23"/>
  <c r="C23" i="44"/>
  <c r="M23" i="43"/>
  <c r="C10" i="44"/>
  <c r="M10" i="43"/>
  <c r="N20" i="43"/>
  <c r="P20" i="43"/>
  <c r="O20" i="43"/>
  <c r="C64" i="21"/>
  <c r="C21" i="44"/>
  <c r="M21" i="43"/>
  <c r="C64" i="8"/>
  <c r="M16" i="43"/>
  <c r="C16" i="44"/>
  <c r="C64" i="7"/>
  <c r="M15" i="43"/>
  <c r="C15" i="44"/>
  <c r="C64" i="18"/>
  <c r="C11" i="44"/>
  <c r="M11" i="43"/>
  <c r="C19" i="44"/>
  <c r="M19" i="43"/>
  <c r="F20" i="44"/>
  <c r="D20" i="44"/>
  <c r="K20" i="44" s="1"/>
  <c r="G20" i="44"/>
  <c r="M8" i="43"/>
  <c r="C8" i="44"/>
  <c r="M6" i="43"/>
  <c r="M22" i="43"/>
  <c r="C22" i="44"/>
  <c r="C9" i="44"/>
  <c r="M9" i="43"/>
  <c r="C24" i="44"/>
  <c r="M24" i="43"/>
  <c r="C18" i="44"/>
  <c r="M18" i="43"/>
  <c r="M17" i="43"/>
  <c r="C17" i="44"/>
  <c r="C21" i="27"/>
  <c r="B4" i="30"/>
  <c r="Z10" i="44" l="1"/>
  <c r="AA10" i="44" s="1"/>
  <c r="S10" i="44"/>
  <c r="T10" i="44" s="1"/>
  <c r="S13" i="44"/>
  <c r="T13" i="44" s="1"/>
  <c r="Z13" i="44"/>
  <c r="AA13" i="44" s="1"/>
  <c r="Z18" i="44"/>
  <c r="AA18" i="44" s="1"/>
  <c r="S18" i="44"/>
  <c r="T18" i="44" s="1"/>
  <c r="S9" i="44"/>
  <c r="T9" i="44" s="1"/>
  <c r="Z9" i="44"/>
  <c r="AA9" i="44" s="1"/>
  <c r="S8" i="44"/>
  <c r="T8" i="44" s="1"/>
  <c r="Z8" i="44"/>
  <c r="AA8" i="44" s="1"/>
  <c r="Z11" i="44"/>
  <c r="AA11" i="44" s="1"/>
  <c r="S11" i="44"/>
  <c r="T11" i="44" s="1"/>
  <c r="S17" i="44"/>
  <c r="T17" i="44" s="1"/>
  <c r="Z17" i="44"/>
  <c r="AA17" i="44" s="1"/>
  <c r="Z22" i="44"/>
  <c r="AA22" i="44" s="1"/>
  <c r="S22" i="44"/>
  <c r="T22" i="44" s="1"/>
  <c r="Z16" i="44"/>
  <c r="AA16" i="44" s="1"/>
  <c r="S16" i="44"/>
  <c r="T16" i="44" s="1"/>
  <c r="S21" i="44"/>
  <c r="T21" i="44" s="1"/>
  <c r="Z21" i="44"/>
  <c r="AA21" i="44" s="1"/>
  <c r="Z23" i="44"/>
  <c r="AA23" i="44" s="1"/>
  <c r="S23" i="44"/>
  <c r="T23" i="44" s="1"/>
  <c r="S25" i="44"/>
  <c r="T25" i="44" s="1"/>
  <c r="Z25" i="44"/>
  <c r="AA25" i="44" s="1"/>
  <c r="Z7" i="44"/>
  <c r="AA7" i="44" s="1"/>
  <c r="S7" i="44"/>
  <c r="T7" i="44" s="1"/>
  <c r="S12" i="44"/>
  <c r="T12" i="44" s="1"/>
  <c r="Z12" i="44"/>
  <c r="AA12" i="44" s="1"/>
  <c r="Z6" i="44"/>
  <c r="S6" i="44"/>
  <c r="S24" i="44"/>
  <c r="T24" i="44" s="1"/>
  <c r="Z24" i="44"/>
  <c r="AA24" i="44" s="1"/>
  <c r="Z19" i="44"/>
  <c r="AA19" i="44" s="1"/>
  <c r="S19" i="44"/>
  <c r="T19" i="44" s="1"/>
  <c r="Z15" i="44"/>
  <c r="AA15" i="44" s="1"/>
  <c r="S15" i="44"/>
  <c r="T15" i="44" s="1"/>
  <c r="Z14" i="44"/>
  <c r="AA14" i="44" s="1"/>
  <c r="S14" i="44"/>
  <c r="T14" i="44" s="1"/>
  <c r="W20" i="44"/>
  <c r="U20" i="44"/>
  <c r="V20" i="44"/>
  <c r="AB20" i="44"/>
  <c r="AC20" i="44"/>
  <c r="AD20" i="44"/>
  <c r="G23" i="44"/>
  <c r="F23" i="44"/>
  <c r="D23" i="44"/>
  <c r="K23" i="44" s="1"/>
  <c r="D14" i="44"/>
  <c r="K14" i="44" s="1"/>
  <c r="F14" i="44"/>
  <c r="G14" i="44"/>
  <c r="P11" i="43"/>
  <c r="N11" i="43"/>
  <c r="O11" i="43"/>
  <c r="G10" i="44"/>
  <c r="D10" i="44"/>
  <c r="K10" i="44" s="1"/>
  <c r="F10" i="44"/>
  <c r="G11" i="44"/>
  <c r="D11" i="44"/>
  <c r="K11" i="44" s="1"/>
  <c r="F11" i="44"/>
  <c r="P21" i="43"/>
  <c r="N21" i="43"/>
  <c r="O21" i="43"/>
  <c r="P23" i="43"/>
  <c r="O23" i="43"/>
  <c r="N23" i="43"/>
  <c r="P7" i="43"/>
  <c r="O7" i="43"/>
  <c r="N7" i="43"/>
  <c r="F7" i="44"/>
  <c r="G7" i="44"/>
  <c r="D7" i="44"/>
  <c r="K7" i="44" s="1"/>
  <c r="P14" i="43"/>
  <c r="N14" i="43"/>
  <c r="O14" i="43"/>
  <c r="P13" i="43"/>
  <c r="N13" i="43"/>
  <c r="O13" i="43"/>
  <c r="N19" i="43"/>
  <c r="P19" i="43"/>
  <c r="O19" i="43"/>
  <c r="D16" i="44"/>
  <c r="K16" i="44" s="1"/>
  <c r="F16" i="44"/>
  <c r="G16" i="44"/>
  <c r="Q20" i="43"/>
  <c r="D20" i="43"/>
  <c r="F25" i="44"/>
  <c r="D25" i="44"/>
  <c r="K25" i="44" s="1"/>
  <c r="G25" i="44"/>
  <c r="D12" i="44"/>
  <c r="K12" i="44" s="1"/>
  <c r="G12" i="44"/>
  <c r="F12" i="44"/>
  <c r="G21" i="44"/>
  <c r="F21" i="44"/>
  <c r="D21" i="44"/>
  <c r="K21" i="44" s="1"/>
  <c r="G15" i="44"/>
  <c r="F15" i="44"/>
  <c r="D15" i="44"/>
  <c r="K15" i="44" s="1"/>
  <c r="H20" i="44"/>
  <c r="E20" i="44"/>
  <c r="P15" i="43"/>
  <c r="O15" i="43"/>
  <c r="N15" i="43"/>
  <c r="G13" i="44"/>
  <c r="F13" i="44"/>
  <c r="D13" i="44"/>
  <c r="K13" i="44" s="1"/>
  <c r="N12" i="43"/>
  <c r="O12" i="43"/>
  <c r="P12" i="43"/>
  <c r="F19" i="44"/>
  <c r="D19" i="44"/>
  <c r="K19" i="44" s="1"/>
  <c r="G19" i="44"/>
  <c r="N16" i="43"/>
  <c r="O16" i="43"/>
  <c r="P16" i="43"/>
  <c r="N10" i="43"/>
  <c r="P10" i="43"/>
  <c r="O10" i="43"/>
  <c r="N25" i="43"/>
  <c r="O25" i="43"/>
  <c r="P25" i="43"/>
  <c r="G8" i="44"/>
  <c r="D8" i="44"/>
  <c r="K8" i="44" s="1"/>
  <c r="F8" i="44"/>
  <c r="N8" i="43"/>
  <c r="P8" i="43"/>
  <c r="O8" i="43"/>
  <c r="F6" i="44"/>
  <c r="D6" i="44"/>
  <c r="K6" i="44" s="1"/>
  <c r="G6" i="44"/>
  <c r="N6" i="43"/>
  <c r="O6" i="43"/>
  <c r="P6" i="43"/>
  <c r="G22" i="44"/>
  <c r="D22" i="44"/>
  <c r="K22" i="44" s="1"/>
  <c r="F22" i="44"/>
  <c r="P22" i="43"/>
  <c r="N22" i="43"/>
  <c r="O22" i="43"/>
  <c r="O9" i="43"/>
  <c r="N9" i="43"/>
  <c r="P9" i="43"/>
  <c r="F9" i="44"/>
  <c r="G9" i="44"/>
  <c r="D9" i="44"/>
  <c r="K9" i="44" s="1"/>
  <c r="N24" i="43"/>
  <c r="Q24" i="43" s="1"/>
  <c r="M27" i="43"/>
  <c r="M30" i="43" s="1"/>
  <c r="P24" i="43"/>
  <c r="O24" i="43"/>
  <c r="C27" i="44"/>
  <c r="D24" i="44"/>
  <c r="G24" i="44"/>
  <c r="F24" i="44"/>
  <c r="N18" i="43"/>
  <c r="P18" i="43"/>
  <c r="O18" i="43"/>
  <c r="G18" i="44"/>
  <c r="F18" i="44"/>
  <c r="D18" i="44"/>
  <c r="K18" i="44" s="1"/>
  <c r="G17" i="44"/>
  <c r="F17" i="44"/>
  <c r="D17" i="44"/>
  <c r="K17" i="44" s="1"/>
  <c r="N17" i="43"/>
  <c r="O17" i="43"/>
  <c r="P17" i="43"/>
  <c r="U27" i="6"/>
  <c r="M20" i="49" s="1"/>
  <c r="M21" i="49" s="1"/>
  <c r="W28" i="6"/>
  <c r="V15" i="44" l="1"/>
  <c r="W15" i="44"/>
  <c r="U15" i="44"/>
  <c r="AB24" i="44"/>
  <c r="AC24" i="44"/>
  <c r="AD24" i="44"/>
  <c r="AB12" i="44"/>
  <c r="AC12" i="44"/>
  <c r="AD12" i="44"/>
  <c r="AB25" i="44"/>
  <c r="AD25" i="44"/>
  <c r="AC25" i="44"/>
  <c r="AB21" i="44"/>
  <c r="AD21" i="44"/>
  <c r="AC21" i="44"/>
  <c r="V22" i="44"/>
  <c r="W22" i="44"/>
  <c r="U22" i="44"/>
  <c r="V11" i="44"/>
  <c r="U11" i="44"/>
  <c r="W11" i="44"/>
  <c r="AB9" i="44"/>
  <c r="AD9" i="44"/>
  <c r="AC9" i="44"/>
  <c r="AB13" i="44"/>
  <c r="AD13" i="44"/>
  <c r="AC13" i="44"/>
  <c r="AB15" i="44"/>
  <c r="AD15" i="44"/>
  <c r="AC15" i="44"/>
  <c r="W24" i="44"/>
  <c r="U24" i="44"/>
  <c r="V24" i="44"/>
  <c r="W12" i="44"/>
  <c r="U12" i="44"/>
  <c r="V12" i="44"/>
  <c r="W25" i="44"/>
  <c r="U25" i="44"/>
  <c r="V25" i="44"/>
  <c r="W21" i="44"/>
  <c r="U21" i="44"/>
  <c r="V21" i="44"/>
  <c r="AB22" i="44"/>
  <c r="AC22" i="44"/>
  <c r="AD22" i="44"/>
  <c r="AB11" i="44"/>
  <c r="AD11" i="44"/>
  <c r="AC11" i="44"/>
  <c r="W9" i="44"/>
  <c r="U9" i="44"/>
  <c r="V9" i="44"/>
  <c r="W13" i="44"/>
  <c r="U13" i="44"/>
  <c r="V13" i="44"/>
  <c r="V14" i="44"/>
  <c r="W14" i="44"/>
  <c r="U14" i="44"/>
  <c r="V19" i="44"/>
  <c r="U19" i="44"/>
  <c r="W19" i="44"/>
  <c r="T6" i="44"/>
  <c r="S27" i="44"/>
  <c r="V7" i="44"/>
  <c r="W7" i="44"/>
  <c r="U7" i="44"/>
  <c r="V23" i="44"/>
  <c r="W23" i="44"/>
  <c r="U23" i="44"/>
  <c r="W16" i="44"/>
  <c r="U16" i="44"/>
  <c r="V16" i="44"/>
  <c r="AB17" i="44"/>
  <c r="AD17" i="44"/>
  <c r="AC17" i="44"/>
  <c r="AB8" i="44"/>
  <c r="AD8" i="44"/>
  <c r="AC8" i="44"/>
  <c r="V18" i="44"/>
  <c r="U18" i="44"/>
  <c r="W18" i="44"/>
  <c r="V10" i="44"/>
  <c r="U10" i="44"/>
  <c r="W10" i="44"/>
  <c r="G20" i="43"/>
  <c r="R20" i="43"/>
  <c r="AB14" i="44"/>
  <c r="AC14" i="44"/>
  <c r="AD14" i="44"/>
  <c r="AB19" i="44"/>
  <c r="AD19" i="44"/>
  <c r="AC19" i="44"/>
  <c r="Z27" i="44"/>
  <c r="AA6" i="44"/>
  <c r="AB7" i="44"/>
  <c r="AD7" i="44"/>
  <c r="AC7" i="44"/>
  <c r="AB23" i="44"/>
  <c r="AD23" i="44"/>
  <c r="AC23" i="44"/>
  <c r="AB16" i="44"/>
  <c r="AC16" i="44"/>
  <c r="AD16" i="44"/>
  <c r="W17" i="44"/>
  <c r="U17" i="44"/>
  <c r="V17" i="44"/>
  <c r="W8" i="44"/>
  <c r="U8" i="44"/>
  <c r="V8" i="44"/>
  <c r="AB18" i="44"/>
  <c r="AC18" i="44"/>
  <c r="AD18" i="44"/>
  <c r="AB10" i="44"/>
  <c r="AC10" i="44"/>
  <c r="AD10" i="44"/>
  <c r="E24" i="44"/>
  <c r="K24" i="44"/>
  <c r="K27" i="44" s="1"/>
  <c r="U28" i="6"/>
  <c r="C26" i="43"/>
  <c r="I20" i="44"/>
  <c r="J20" i="44"/>
  <c r="H15" i="44"/>
  <c r="E15" i="44"/>
  <c r="E16" i="44"/>
  <c r="H16" i="44"/>
  <c r="D13" i="43"/>
  <c r="Q13" i="43"/>
  <c r="D7" i="43"/>
  <c r="Q7" i="43"/>
  <c r="Q11" i="43"/>
  <c r="D11" i="43"/>
  <c r="Q10" i="43"/>
  <c r="D10" i="43"/>
  <c r="H12" i="44"/>
  <c r="E12" i="44"/>
  <c r="D23" i="43"/>
  <c r="Q23" i="43"/>
  <c r="Q16" i="43"/>
  <c r="D16" i="43"/>
  <c r="H14" i="44"/>
  <c r="E14" i="44"/>
  <c r="H23" i="44"/>
  <c r="E23" i="44"/>
  <c r="Q25" i="43"/>
  <c r="D25" i="43"/>
  <c r="E19" i="44"/>
  <c r="H19" i="44"/>
  <c r="Q15" i="43"/>
  <c r="D15" i="43"/>
  <c r="H21" i="44"/>
  <c r="E21" i="44"/>
  <c r="Q19" i="43"/>
  <c r="D19" i="43"/>
  <c r="Q12" i="43"/>
  <c r="D12" i="43"/>
  <c r="H11" i="44"/>
  <c r="E11" i="44"/>
  <c r="H13" i="44"/>
  <c r="E13" i="44"/>
  <c r="D14" i="43"/>
  <c r="Q14" i="43"/>
  <c r="E25" i="44"/>
  <c r="H25" i="44"/>
  <c r="E7" i="44"/>
  <c r="H7" i="44"/>
  <c r="E10" i="44"/>
  <c r="H10" i="44"/>
  <c r="D21" i="43"/>
  <c r="Q21" i="43"/>
  <c r="H6" i="44"/>
  <c r="J6" i="44" s="1"/>
  <c r="E6" i="44"/>
  <c r="H22" i="44"/>
  <c r="J22" i="44" s="1"/>
  <c r="E22" i="44"/>
  <c r="H9" i="44"/>
  <c r="I9" i="44" s="1"/>
  <c r="E9" i="44"/>
  <c r="H18" i="44"/>
  <c r="J18" i="44" s="1"/>
  <c r="E18" i="44"/>
  <c r="H8" i="44"/>
  <c r="J8" i="44" s="1"/>
  <c r="E8" i="44"/>
  <c r="H17" i="44"/>
  <c r="J17" i="44" s="1"/>
  <c r="E17" i="44"/>
  <c r="Q8" i="43"/>
  <c r="D8" i="43"/>
  <c r="D9" i="43"/>
  <c r="Q9" i="43"/>
  <c r="D17" i="43"/>
  <c r="Q17" i="43"/>
  <c r="D6" i="43"/>
  <c r="Q6" i="43"/>
  <c r="D18" i="43"/>
  <c r="Q18" i="43"/>
  <c r="D22" i="43"/>
  <c r="Q22" i="43"/>
  <c r="O27" i="43"/>
  <c r="G27" i="44"/>
  <c r="P27" i="43"/>
  <c r="F27" i="44"/>
  <c r="H24" i="44"/>
  <c r="D27" i="44"/>
  <c r="N27" i="43"/>
  <c r="D24" i="43"/>
  <c r="R24" i="43" s="1"/>
  <c r="X28" i="6"/>
  <c r="D403" i="42"/>
  <c r="J23" i="42" s="1"/>
  <c r="C403" i="42"/>
  <c r="I23" i="42" s="1"/>
  <c r="E385" i="42"/>
  <c r="E386" i="42"/>
  <c r="E387" i="42"/>
  <c r="E388" i="42"/>
  <c r="E389" i="42"/>
  <c r="E390" i="42"/>
  <c r="E391" i="42"/>
  <c r="E392" i="42"/>
  <c r="E393" i="42"/>
  <c r="E394" i="42"/>
  <c r="E395" i="42"/>
  <c r="E396" i="42"/>
  <c r="E397" i="42"/>
  <c r="E398" i="42"/>
  <c r="E399" i="42"/>
  <c r="E400" i="42"/>
  <c r="E401" i="42"/>
  <c r="E402" i="42"/>
  <c r="E384" i="42"/>
  <c r="E403" i="42" s="1"/>
  <c r="K23" i="42" s="1"/>
  <c r="Z27" i="6" s="1"/>
  <c r="D382" i="42"/>
  <c r="J22" i="42" s="1"/>
  <c r="C382" i="42"/>
  <c r="I22" i="42" s="1"/>
  <c r="E378" i="42"/>
  <c r="E379" i="42"/>
  <c r="E380" i="42"/>
  <c r="E381" i="42"/>
  <c r="E377" i="42"/>
  <c r="D375" i="42"/>
  <c r="J21" i="42" s="1"/>
  <c r="C375" i="42"/>
  <c r="I21" i="42" s="1"/>
  <c r="E349" i="42"/>
  <c r="E350" i="42"/>
  <c r="E351" i="42"/>
  <c r="E352" i="42"/>
  <c r="E353" i="42"/>
  <c r="E354" i="42"/>
  <c r="E355" i="42"/>
  <c r="E356" i="42"/>
  <c r="E357" i="42"/>
  <c r="E358" i="42"/>
  <c r="E359" i="42"/>
  <c r="E360" i="42"/>
  <c r="E361" i="42"/>
  <c r="E362" i="42"/>
  <c r="E363" i="42"/>
  <c r="E364" i="42"/>
  <c r="E365" i="42"/>
  <c r="E366" i="42"/>
  <c r="E367" i="42"/>
  <c r="E368" i="42"/>
  <c r="E369" i="42"/>
  <c r="E370" i="42"/>
  <c r="E371" i="42"/>
  <c r="E372" i="42"/>
  <c r="E373" i="42"/>
  <c r="E374" i="42"/>
  <c r="E348" i="42"/>
  <c r="E375" i="42" s="1"/>
  <c r="K21" i="42" s="1"/>
  <c r="Z25" i="6" s="1"/>
  <c r="D346" i="42"/>
  <c r="J20" i="42" s="1"/>
  <c r="C346" i="42"/>
  <c r="I20" i="42" s="1"/>
  <c r="E319" i="42"/>
  <c r="E320" i="42"/>
  <c r="E321" i="42"/>
  <c r="E322" i="42"/>
  <c r="E323" i="42"/>
  <c r="E324" i="42"/>
  <c r="E325" i="42"/>
  <c r="E326" i="42"/>
  <c r="E327" i="42"/>
  <c r="E328" i="42"/>
  <c r="E329" i="42"/>
  <c r="E330" i="42"/>
  <c r="E331" i="42"/>
  <c r="E332" i="42"/>
  <c r="E333" i="42"/>
  <c r="E334" i="42"/>
  <c r="E335" i="42"/>
  <c r="E336" i="42"/>
  <c r="E337" i="42"/>
  <c r="E338" i="42"/>
  <c r="E339" i="42"/>
  <c r="E340" i="42"/>
  <c r="E341" i="42"/>
  <c r="E342" i="42"/>
  <c r="E343" i="42"/>
  <c r="E344" i="42"/>
  <c r="E345" i="42"/>
  <c r="E318" i="42"/>
  <c r="E346" i="42" s="1"/>
  <c r="K20" i="42" s="1"/>
  <c r="Z24" i="6" s="1"/>
  <c r="D316" i="42"/>
  <c r="J19" i="42" s="1"/>
  <c r="C316" i="42"/>
  <c r="I19" i="42" s="1"/>
  <c r="E304" i="42"/>
  <c r="E305" i="42"/>
  <c r="E306" i="42"/>
  <c r="E307" i="42"/>
  <c r="E308" i="42"/>
  <c r="E309" i="42"/>
  <c r="E310" i="42"/>
  <c r="E311" i="42"/>
  <c r="E312" i="42"/>
  <c r="E313" i="42"/>
  <c r="E314" i="42"/>
  <c r="E315" i="42"/>
  <c r="E303" i="42"/>
  <c r="D301" i="42"/>
  <c r="J18" i="42" s="1"/>
  <c r="C301" i="42"/>
  <c r="I18" i="42" s="1"/>
  <c r="E284" i="42"/>
  <c r="E285" i="42"/>
  <c r="E286" i="42"/>
  <c r="E287" i="42"/>
  <c r="E288" i="42"/>
  <c r="E289" i="42"/>
  <c r="E290" i="42"/>
  <c r="E291" i="42"/>
  <c r="E301" i="42" s="1"/>
  <c r="K18" i="42" s="1"/>
  <c r="Z22" i="6" s="1"/>
  <c r="E292" i="42"/>
  <c r="E293" i="42"/>
  <c r="E294" i="42"/>
  <c r="E295" i="42"/>
  <c r="E296" i="42"/>
  <c r="E297" i="42"/>
  <c r="E298" i="42"/>
  <c r="E299" i="42"/>
  <c r="E300" i="42"/>
  <c r="E283" i="42"/>
  <c r="D281" i="42"/>
  <c r="J17" i="42" s="1"/>
  <c r="C281" i="42"/>
  <c r="I17" i="42" s="1"/>
  <c r="E274" i="42"/>
  <c r="E275" i="42"/>
  <c r="E276" i="42"/>
  <c r="E277" i="42"/>
  <c r="E278" i="42"/>
  <c r="E279" i="42"/>
  <c r="E280" i="42"/>
  <c r="E273" i="42"/>
  <c r="E281" i="42" s="1"/>
  <c r="K17" i="42" s="1"/>
  <c r="Z21" i="6" s="1"/>
  <c r="D271" i="42"/>
  <c r="J16" i="42" s="1"/>
  <c r="C271" i="42"/>
  <c r="I16" i="42" s="1"/>
  <c r="E270" i="42"/>
  <c r="E269" i="42"/>
  <c r="E268" i="42"/>
  <c r="E267" i="42"/>
  <c r="E266" i="42"/>
  <c r="E265" i="42"/>
  <c r="E264" i="42"/>
  <c r="E263" i="42"/>
  <c r="E262" i="42"/>
  <c r="E261" i="42"/>
  <c r="E260" i="42"/>
  <c r="E259" i="42"/>
  <c r="E258" i="42"/>
  <c r="E257" i="42"/>
  <c r="E220" i="42"/>
  <c r="E221" i="42"/>
  <c r="E222" i="42"/>
  <c r="E223" i="42"/>
  <c r="E224" i="42"/>
  <c r="E225" i="42"/>
  <c r="E226" i="42"/>
  <c r="E227" i="42"/>
  <c r="E228" i="42"/>
  <c r="E229" i="42"/>
  <c r="E230" i="42"/>
  <c r="E231" i="42"/>
  <c r="E232" i="42"/>
  <c r="E233" i="42"/>
  <c r="E234" i="42"/>
  <c r="E235" i="42"/>
  <c r="E236" i="42"/>
  <c r="E237" i="42"/>
  <c r="E238" i="42"/>
  <c r="E239" i="42"/>
  <c r="E240" i="42"/>
  <c r="E241" i="42"/>
  <c r="E242" i="42"/>
  <c r="E243" i="42"/>
  <c r="E244" i="42"/>
  <c r="E245" i="42"/>
  <c r="E246" i="42"/>
  <c r="E247" i="42"/>
  <c r="E248" i="42"/>
  <c r="E249" i="42"/>
  <c r="E250" i="42"/>
  <c r="E251" i="42"/>
  <c r="E252" i="42"/>
  <c r="E253" i="42"/>
  <c r="E254" i="42"/>
  <c r="E255" i="42"/>
  <c r="E256" i="42"/>
  <c r="E219" i="42"/>
  <c r="D217" i="42"/>
  <c r="J15" i="42" s="1"/>
  <c r="C217" i="42"/>
  <c r="I15" i="42" s="1"/>
  <c r="E187" i="42"/>
  <c r="E188" i="42"/>
  <c r="E189" i="42"/>
  <c r="E190" i="42"/>
  <c r="E191" i="42"/>
  <c r="E192" i="42"/>
  <c r="E193" i="42"/>
  <c r="E194" i="42"/>
  <c r="E195" i="42"/>
  <c r="E196" i="42"/>
  <c r="E197" i="42"/>
  <c r="E198" i="42"/>
  <c r="E199" i="42"/>
  <c r="E200" i="42"/>
  <c r="E201" i="42"/>
  <c r="E202" i="42"/>
  <c r="E203" i="42"/>
  <c r="E204" i="42"/>
  <c r="E205" i="42"/>
  <c r="E206" i="42"/>
  <c r="E207" i="42"/>
  <c r="E208" i="42"/>
  <c r="E209" i="42"/>
  <c r="E210" i="42"/>
  <c r="E211" i="42"/>
  <c r="E212" i="42"/>
  <c r="E213" i="42"/>
  <c r="E214" i="42"/>
  <c r="E215" i="42"/>
  <c r="E216" i="42"/>
  <c r="E186" i="42"/>
  <c r="D184" i="42"/>
  <c r="J14" i="42" s="1"/>
  <c r="C184" i="42"/>
  <c r="I14" i="42" s="1"/>
  <c r="E181" i="42"/>
  <c r="E184" i="42" s="1"/>
  <c r="K14" i="42" s="1"/>
  <c r="Z18" i="6" s="1"/>
  <c r="E182" i="42"/>
  <c r="E183" i="42"/>
  <c r="E180" i="42"/>
  <c r="D178" i="42"/>
  <c r="J13" i="42" s="1"/>
  <c r="C178" i="42"/>
  <c r="I13" i="42" s="1"/>
  <c r="E165" i="42"/>
  <c r="E166" i="42"/>
  <c r="E167" i="42"/>
  <c r="E168" i="42"/>
  <c r="E169" i="42"/>
  <c r="E170" i="42"/>
  <c r="E171" i="42"/>
  <c r="E172" i="42"/>
  <c r="E173" i="42"/>
  <c r="E174" i="42"/>
  <c r="E175" i="42"/>
  <c r="E176" i="42"/>
  <c r="E177" i="42"/>
  <c r="E164" i="42"/>
  <c r="D162" i="42"/>
  <c r="J12" i="42" s="1"/>
  <c r="C162" i="42"/>
  <c r="I12" i="42" s="1"/>
  <c r="E127" i="42"/>
  <c r="E128" i="42"/>
  <c r="E129" i="42"/>
  <c r="E130" i="42"/>
  <c r="E131" i="42"/>
  <c r="E132" i="42"/>
  <c r="E133" i="42"/>
  <c r="E134" i="42"/>
  <c r="E135" i="42"/>
  <c r="E136" i="42"/>
  <c r="E137" i="42"/>
  <c r="E138" i="42"/>
  <c r="E139" i="42"/>
  <c r="E140" i="42"/>
  <c r="E141" i="42"/>
  <c r="E142" i="42"/>
  <c r="E143" i="42"/>
  <c r="E144" i="42"/>
  <c r="E145" i="42"/>
  <c r="E146" i="42"/>
  <c r="E147" i="42"/>
  <c r="E148" i="42"/>
  <c r="E149" i="42"/>
  <c r="E150" i="42"/>
  <c r="E151" i="42"/>
  <c r="E152" i="42"/>
  <c r="E153" i="42"/>
  <c r="E154" i="42"/>
  <c r="E155" i="42"/>
  <c r="E156" i="42"/>
  <c r="E157" i="42"/>
  <c r="E158" i="42"/>
  <c r="E159" i="42"/>
  <c r="E160" i="42"/>
  <c r="E161" i="42"/>
  <c r="E126" i="42"/>
  <c r="D124" i="42"/>
  <c r="J11" i="42" s="1"/>
  <c r="C124" i="42"/>
  <c r="I11" i="42" s="1"/>
  <c r="E119" i="42"/>
  <c r="E120" i="42"/>
  <c r="E121" i="42"/>
  <c r="E122" i="42"/>
  <c r="E123" i="42"/>
  <c r="E118" i="42"/>
  <c r="D116" i="42"/>
  <c r="J10" i="42" s="1"/>
  <c r="C116" i="42"/>
  <c r="I10" i="42" s="1"/>
  <c r="E110" i="42"/>
  <c r="E111" i="42"/>
  <c r="E112" i="42"/>
  <c r="E113" i="42"/>
  <c r="E114" i="42"/>
  <c r="E115" i="42"/>
  <c r="E109" i="42"/>
  <c r="D107" i="42"/>
  <c r="J9" i="42" s="1"/>
  <c r="C107" i="42"/>
  <c r="I9" i="42" s="1"/>
  <c r="E103" i="42"/>
  <c r="E104" i="42"/>
  <c r="E105" i="42"/>
  <c r="E106" i="42"/>
  <c r="E102" i="42"/>
  <c r="E107" i="42" s="1"/>
  <c r="K9" i="42" s="1"/>
  <c r="Z13" i="6" s="1"/>
  <c r="D100" i="42"/>
  <c r="J8" i="42" s="1"/>
  <c r="C100" i="42"/>
  <c r="I8" i="42" s="1"/>
  <c r="E96" i="42"/>
  <c r="E97" i="42"/>
  <c r="E98" i="42"/>
  <c r="E99" i="42"/>
  <c r="E95" i="42"/>
  <c r="D93" i="42"/>
  <c r="J7" i="42" s="1"/>
  <c r="C93" i="42"/>
  <c r="I7" i="42" s="1"/>
  <c r="E81" i="42"/>
  <c r="E82" i="42"/>
  <c r="E83" i="42"/>
  <c r="E84" i="42"/>
  <c r="E85" i="42"/>
  <c r="E86" i="42"/>
  <c r="E87" i="42"/>
  <c r="E88" i="42"/>
  <c r="E89" i="42"/>
  <c r="E90" i="42"/>
  <c r="E91" i="42"/>
  <c r="E92" i="42"/>
  <c r="E80" i="42"/>
  <c r="D78" i="42"/>
  <c r="J6" i="42" s="1"/>
  <c r="C78" i="42"/>
  <c r="I6" i="42" s="1"/>
  <c r="E74" i="42"/>
  <c r="E75" i="42"/>
  <c r="E76" i="42"/>
  <c r="E77" i="42"/>
  <c r="E73" i="42"/>
  <c r="D71" i="42"/>
  <c r="J5" i="42" s="1"/>
  <c r="C71" i="42"/>
  <c r="I5" i="42" s="1"/>
  <c r="E29" i="42"/>
  <c r="E30" i="42"/>
  <c r="E31" i="42"/>
  <c r="E32" i="42"/>
  <c r="E33" i="42"/>
  <c r="E34" i="42"/>
  <c r="E35" i="42"/>
  <c r="E36" i="42"/>
  <c r="E37" i="42"/>
  <c r="E38" i="42"/>
  <c r="E39"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E69" i="42"/>
  <c r="E70" i="42"/>
  <c r="E28" i="42"/>
  <c r="E11" i="42"/>
  <c r="E12" i="42"/>
  <c r="E13" i="42"/>
  <c r="E14" i="42"/>
  <c r="E15" i="42"/>
  <c r="E16" i="42"/>
  <c r="E17" i="42"/>
  <c r="E18" i="42"/>
  <c r="E19" i="42"/>
  <c r="E20" i="42"/>
  <c r="E21" i="42"/>
  <c r="E22" i="42"/>
  <c r="E23" i="42"/>
  <c r="E24" i="42"/>
  <c r="E25" i="42"/>
  <c r="E10" i="42"/>
  <c r="E3" i="42"/>
  <c r="E4" i="42"/>
  <c r="E5" i="42"/>
  <c r="E6" i="42"/>
  <c r="E7" i="42"/>
  <c r="E2" i="42"/>
  <c r="D26" i="42"/>
  <c r="J4" i="42" s="1"/>
  <c r="C26" i="42"/>
  <c r="I4" i="42" s="1"/>
  <c r="A11" i="42"/>
  <c r="A12" i="42" s="1"/>
  <c r="A13" i="42" s="1"/>
  <c r="A14" i="42" s="1"/>
  <c r="A15" i="42" s="1"/>
  <c r="A16" i="42" s="1"/>
  <c r="A17" i="42" s="1"/>
  <c r="A18" i="42" s="1"/>
  <c r="A19" i="42" s="1"/>
  <c r="A20" i="42" s="1"/>
  <c r="A21" i="42" s="1"/>
  <c r="A22" i="42" s="1"/>
  <c r="A23" i="42" s="1"/>
  <c r="A24" i="42" s="1"/>
  <c r="A25" i="42" s="1"/>
  <c r="D8" i="42"/>
  <c r="J3" i="42" s="1"/>
  <c r="C8" i="42"/>
  <c r="I3" i="42" s="1"/>
  <c r="G15" i="43" l="1"/>
  <c r="R15" i="43"/>
  <c r="G10" i="43"/>
  <c r="R10" i="43"/>
  <c r="E100" i="42"/>
  <c r="K8" i="42" s="1"/>
  <c r="Z12" i="6" s="1"/>
  <c r="E162" i="42"/>
  <c r="K12" i="42" s="1"/>
  <c r="Z16" i="6" s="1"/>
  <c r="E382" i="42"/>
  <c r="K22" i="42" s="1"/>
  <c r="Z26" i="6" s="1"/>
  <c r="G6" i="43"/>
  <c r="R6" i="43"/>
  <c r="G9" i="43"/>
  <c r="R9" i="43"/>
  <c r="G21" i="43"/>
  <c r="R21" i="43"/>
  <c r="G14" i="43"/>
  <c r="R14" i="43"/>
  <c r="G23" i="43"/>
  <c r="R23" i="43"/>
  <c r="G7" i="43"/>
  <c r="R7" i="43"/>
  <c r="W27" i="44"/>
  <c r="E8" i="42"/>
  <c r="K3" i="42" s="1"/>
  <c r="Z7" i="6" s="1"/>
  <c r="G8" i="43"/>
  <c r="R8" i="43"/>
  <c r="G12" i="43"/>
  <c r="R12" i="43"/>
  <c r="G16" i="43"/>
  <c r="R16" i="43"/>
  <c r="G11" i="43"/>
  <c r="R11" i="43"/>
  <c r="G19" i="43"/>
  <c r="R19" i="43"/>
  <c r="G25" i="43"/>
  <c r="R25" i="43"/>
  <c r="E124" i="42"/>
  <c r="K11" i="42" s="1"/>
  <c r="Z15" i="6" s="1"/>
  <c r="E217" i="42"/>
  <c r="K15" i="42" s="1"/>
  <c r="Z19" i="6" s="1"/>
  <c r="G22" i="43"/>
  <c r="R22" i="43"/>
  <c r="E26" i="42"/>
  <c r="K4" i="42" s="1"/>
  <c r="Z8" i="6" s="1"/>
  <c r="E71" i="42"/>
  <c r="K5" i="42" s="1"/>
  <c r="Z9" i="6" s="1"/>
  <c r="E78" i="42"/>
  <c r="K6" i="42" s="1"/>
  <c r="Z10" i="6" s="1"/>
  <c r="E116" i="42"/>
  <c r="K10" i="42" s="1"/>
  <c r="Z14" i="6" s="1"/>
  <c r="E178" i="42"/>
  <c r="K13" i="42" s="1"/>
  <c r="Z17" i="6" s="1"/>
  <c r="G18" i="43"/>
  <c r="R18" i="43"/>
  <c r="G17" i="43"/>
  <c r="R17" i="43"/>
  <c r="G13" i="43"/>
  <c r="R13" i="43"/>
  <c r="AB6" i="44"/>
  <c r="AB27" i="44" s="1"/>
  <c r="AC6" i="44"/>
  <c r="AC27" i="44" s="1"/>
  <c r="AD6" i="44"/>
  <c r="AD27" i="44" s="1"/>
  <c r="AA27" i="44"/>
  <c r="T27" i="44"/>
  <c r="V6" i="44"/>
  <c r="V27" i="44" s="1"/>
  <c r="W6" i="44"/>
  <c r="U6" i="44"/>
  <c r="U27" i="44" s="1"/>
  <c r="I6" i="44"/>
  <c r="I8" i="44"/>
  <c r="F26" i="43"/>
  <c r="F27" i="43" s="1"/>
  <c r="C27" i="43"/>
  <c r="E26" i="43"/>
  <c r="E27" i="43" s="1"/>
  <c r="J10" i="44"/>
  <c r="I10" i="44"/>
  <c r="J13" i="44"/>
  <c r="I13" i="44"/>
  <c r="J21" i="44"/>
  <c r="I21" i="44"/>
  <c r="J23" i="44"/>
  <c r="I23" i="44"/>
  <c r="I12" i="44"/>
  <c r="J12" i="44"/>
  <c r="J9" i="44"/>
  <c r="I7" i="44"/>
  <c r="J7" i="44"/>
  <c r="J25" i="44"/>
  <c r="I25" i="44"/>
  <c r="J19" i="44"/>
  <c r="I19" i="44"/>
  <c r="J15" i="44"/>
  <c r="I15" i="44"/>
  <c r="J16" i="44"/>
  <c r="I16" i="44"/>
  <c r="J11" i="44"/>
  <c r="I11" i="44"/>
  <c r="I14" i="44"/>
  <c r="J14" i="44"/>
  <c r="E316" i="42"/>
  <c r="K19" i="42" s="1"/>
  <c r="Z23" i="6" s="1"/>
  <c r="E93" i="42"/>
  <c r="K7" i="42" s="1"/>
  <c r="Z11" i="6" s="1"/>
  <c r="I22" i="44"/>
  <c r="I17" i="44"/>
  <c r="I18" i="44"/>
  <c r="E27" i="44"/>
  <c r="Q27" i="43"/>
  <c r="D27" i="43"/>
  <c r="G24" i="43"/>
  <c r="H27" i="44"/>
  <c r="J24" i="44"/>
  <c r="I24" i="44"/>
  <c r="E271" i="42"/>
  <c r="K16" i="42" s="1"/>
  <c r="Z20" i="6" s="1"/>
  <c r="E93" i="6"/>
  <c r="L53" i="49" s="1"/>
  <c r="E94" i="6"/>
  <c r="L54" i="49" s="1"/>
  <c r="E95" i="6"/>
  <c r="L55" i="49" s="1"/>
  <c r="E96" i="6"/>
  <c r="L56" i="49" s="1"/>
  <c r="E97" i="6"/>
  <c r="L57" i="49" s="1"/>
  <c r="E98" i="6"/>
  <c r="L58" i="49" s="1"/>
  <c r="E99" i="6"/>
  <c r="L59" i="49" s="1"/>
  <c r="E100" i="6"/>
  <c r="L60" i="49" s="1"/>
  <c r="E101" i="6"/>
  <c r="L61" i="49" s="1"/>
  <c r="E102" i="6"/>
  <c r="L62" i="49" s="1"/>
  <c r="E103" i="6"/>
  <c r="L63" i="49" s="1"/>
  <c r="E104" i="6"/>
  <c r="L64" i="49" s="1"/>
  <c r="E105" i="6"/>
  <c r="L65" i="49" s="1"/>
  <c r="E106" i="6"/>
  <c r="L66" i="49" s="1"/>
  <c r="E107" i="6"/>
  <c r="L67" i="49" s="1"/>
  <c r="E108" i="6"/>
  <c r="L68" i="49" s="1"/>
  <c r="E109" i="6"/>
  <c r="L69" i="49" s="1"/>
  <c r="E110" i="6"/>
  <c r="L70" i="49" s="1"/>
  <c r="E111" i="6"/>
  <c r="L71" i="49" s="1"/>
  <c r="E112" i="6"/>
  <c r="L72" i="49" s="1"/>
  <c r="E92" i="6"/>
  <c r="L52" i="49" s="1"/>
  <c r="L73" i="49" s="1"/>
  <c r="P73" i="49" s="1"/>
  <c r="D93" i="6"/>
  <c r="K53" i="49" s="1"/>
  <c r="D94" i="6"/>
  <c r="K54" i="49" s="1"/>
  <c r="D95" i="6"/>
  <c r="K55" i="49" s="1"/>
  <c r="D96" i="6"/>
  <c r="K56" i="49" s="1"/>
  <c r="D97" i="6"/>
  <c r="K57" i="49" s="1"/>
  <c r="D98" i="6"/>
  <c r="K58" i="49" s="1"/>
  <c r="D99" i="6"/>
  <c r="K59" i="49" s="1"/>
  <c r="D100" i="6"/>
  <c r="K60" i="49" s="1"/>
  <c r="D101" i="6"/>
  <c r="K61" i="49" s="1"/>
  <c r="D102" i="6"/>
  <c r="K62" i="49" s="1"/>
  <c r="D103" i="6"/>
  <c r="K63" i="49" s="1"/>
  <c r="D104" i="6"/>
  <c r="K64" i="49" s="1"/>
  <c r="D105" i="6"/>
  <c r="K65" i="49" s="1"/>
  <c r="D106" i="6"/>
  <c r="K66" i="49" s="1"/>
  <c r="D107" i="6"/>
  <c r="K67" i="49" s="1"/>
  <c r="D108" i="6"/>
  <c r="K68" i="49" s="1"/>
  <c r="D109" i="6"/>
  <c r="K69" i="49" s="1"/>
  <c r="D110" i="6"/>
  <c r="K70" i="49" s="1"/>
  <c r="D111" i="6"/>
  <c r="K71" i="49" s="1"/>
  <c r="D112" i="6"/>
  <c r="K72" i="49" s="1"/>
  <c r="D92" i="6"/>
  <c r="K52" i="49" s="1"/>
  <c r="C93" i="6"/>
  <c r="J53" i="49" s="1"/>
  <c r="C94" i="6"/>
  <c r="J54" i="49" s="1"/>
  <c r="C95" i="6"/>
  <c r="J55" i="49" s="1"/>
  <c r="C96" i="6"/>
  <c r="J56" i="49" s="1"/>
  <c r="C97" i="6"/>
  <c r="J57" i="49" s="1"/>
  <c r="C98" i="6"/>
  <c r="J58" i="49" s="1"/>
  <c r="C99" i="6"/>
  <c r="J59" i="49" s="1"/>
  <c r="C100" i="6"/>
  <c r="J60" i="49" s="1"/>
  <c r="C101" i="6"/>
  <c r="J61" i="49" s="1"/>
  <c r="C102" i="6"/>
  <c r="J62" i="49" s="1"/>
  <c r="C103" i="6"/>
  <c r="J63" i="49" s="1"/>
  <c r="C104" i="6"/>
  <c r="J64" i="49" s="1"/>
  <c r="C105" i="6"/>
  <c r="J65" i="49" s="1"/>
  <c r="C106" i="6"/>
  <c r="J66" i="49" s="1"/>
  <c r="C107" i="6"/>
  <c r="J67" i="49" s="1"/>
  <c r="C108" i="6"/>
  <c r="J68" i="49" s="1"/>
  <c r="C109" i="6"/>
  <c r="J69" i="49" s="1"/>
  <c r="C110" i="6"/>
  <c r="J70" i="49" s="1"/>
  <c r="C111" i="6"/>
  <c r="J71" i="49" s="1"/>
  <c r="C112" i="6"/>
  <c r="J72" i="49" s="1"/>
  <c r="G27" i="43" l="1"/>
  <c r="K73" i="49"/>
  <c r="O73" i="49" s="1"/>
  <c r="R27" i="43"/>
  <c r="J27" i="44"/>
  <c r="I27" i="44"/>
  <c r="D113" i="6"/>
  <c r="E113" i="6"/>
  <c r="T8" i="6"/>
  <c r="T9" i="6"/>
  <c r="T10" i="6"/>
  <c r="T11" i="6"/>
  <c r="T12" i="6"/>
  <c r="T13" i="6"/>
  <c r="T14" i="6"/>
  <c r="T15" i="6"/>
  <c r="T16" i="6"/>
  <c r="T17" i="6"/>
  <c r="T18" i="6"/>
  <c r="T19" i="6"/>
  <c r="T20" i="6"/>
  <c r="T21" i="6"/>
  <c r="T22" i="6"/>
  <c r="T23" i="6"/>
  <c r="T24" i="6"/>
  <c r="T25" i="6"/>
  <c r="T26" i="6"/>
  <c r="T27" i="6"/>
  <c r="T7" i="6"/>
  <c r="B117" i="26"/>
  <c r="F119" i="26"/>
  <c r="C119" i="26"/>
  <c r="F115" i="26"/>
  <c r="C115" i="26"/>
  <c r="F110" i="26"/>
  <c r="C110" i="26"/>
  <c r="F108" i="26"/>
  <c r="C108" i="26"/>
  <c r="F106" i="26"/>
  <c r="C106" i="26"/>
  <c r="B104" i="26"/>
  <c r="F102" i="26"/>
  <c r="C102" i="26"/>
  <c r="F100" i="26"/>
  <c r="C100" i="26"/>
  <c r="F97" i="26"/>
  <c r="C97" i="26"/>
  <c r="F119" i="25"/>
  <c r="C119" i="25"/>
  <c r="C117" i="25"/>
  <c r="F117" i="25"/>
  <c r="F115" i="25"/>
  <c r="C115" i="25"/>
  <c r="F110" i="25"/>
  <c r="C110" i="25"/>
  <c r="F108" i="25"/>
  <c r="C108" i="25"/>
  <c r="F106" i="25"/>
  <c r="C106" i="25"/>
  <c r="B104" i="25"/>
  <c r="B121" i="25" s="1"/>
  <c r="F102" i="25"/>
  <c r="C102" i="25"/>
  <c r="F100" i="25"/>
  <c r="C100" i="25"/>
  <c r="F97" i="25"/>
  <c r="C97" i="25"/>
  <c r="B117" i="24"/>
  <c r="C117" i="24" s="1"/>
  <c r="F119" i="24"/>
  <c r="C119" i="24"/>
  <c r="F115" i="24"/>
  <c r="C115" i="24"/>
  <c r="F110" i="24"/>
  <c r="C110" i="24"/>
  <c r="F108" i="24"/>
  <c r="C108" i="24"/>
  <c r="F106" i="24"/>
  <c r="C106" i="24"/>
  <c r="B104" i="24"/>
  <c r="F102" i="24"/>
  <c r="C102" i="24"/>
  <c r="F100" i="24"/>
  <c r="C100" i="24"/>
  <c r="F97" i="24"/>
  <c r="C97" i="24"/>
  <c r="B117" i="23"/>
  <c r="C117" i="23" s="1"/>
  <c r="F119" i="23"/>
  <c r="C119" i="23"/>
  <c r="F115" i="23"/>
  <c r="C115" i="23"/>
  <c r="F110" i="23"/>
  <c r="C110" i="23"/>
  <c r="F108" i="23"/>
  <c r="C108" i="23"/>
  <c r="F106" i="23"/>
  <c r="C106" i="23"/>
  <c r="B104" i="23"/>
  <c r="F102" i="23"/>
  <c r="C102" i="23"/>
  <c r="F100" i="23"/>
  <c r="C100" i="23"/>
  <c r="F97" i="23"/>
  <c r="C97" i="23"/>
  <c r="B117" i="5"/>
  <c r="F119" i="5"/>
  <c r="C119" i="5"/>
  <c r="F115" i="5"/>
  <c r="C115" i="5"/>
  <c r="F110" i="5"/>
  <c r="C110" i="5"/>
  <c r="F108" i="5"/>
  <c r="C108" i="5"/>
  <c r="F106" i="5"/>
  <c r="C106" i="5"/>
  <c r="B104" i="5"/>
  <c r="F103" i="5"/>
  <c r="C103" i="5"/>
  <c r="F102" i="5"/>
  <c r="C102" i="5"/>
  <c r="F101" i="5"/>
  <c r="C101" i="5"/>
  <c r="F100" i="5"/>
  <c r="C100" i="5"/>
  <c r="F97" i="5"/>
  <c r="C97" i="5"/>
  <c r="F96" i="5"/>
  <c r="C96" i="5"/>
  <c r="F95" i="5"/>
  <c r="C95" i="5"/>
  <c r="C124" i="5"/>
  <c r="C39" i="5" s="1"/>
  <c r="C125" i="5"/>
  <c r="C40" i="5" s="1"/>
  <c r="C126" i="5"/>
  <c r="C41" i="5" s="1"/>
  <c r="B117" i="12"/>
  <c r="F117" i="12" s="1"/>
  <c r="C115" i="12"/>
  <c r="F115" i="12"/>
  <c r="B104" i="12"/>
  <c r="F97" i="12"/>
  <c r="C97" i="12"/>
  <c r="C96" i="12"/>
  <c r="F96" i="12"/>
  <c r="F119" i="12"/>
  <c r="C119" i="12"/>
  <c r="F110" i="12"/>
  <c r="C110" i="12"/>
  <c r="F108" i="12"/>
  <c r="C108" i="12"/>
  <c r="F106" i="12"/>
  <c r="C106" i="12"/>
  <c r="F103" i="12"/>
  <c r="C103" i="12"/>
  <c r="F102" i="12"/>
  <c r="C102" i="12"/>
  <c r="F101" i="12"/>
  <c r="C101" i="12"/>
  <c r="F100" i="12"/>
  <c r="C100" i="12"/>
  <c r="F95" i="12"/>
  <c r="C95" i="12"/>
  <c r="C115" i="22"/>
  <c r="F115" i="22"/>
  <c r="C97" i="22"/>
  <c r="F97" i="22"/>
  <c r="C115" i="21"/>
  <c r="F115" i="21"/>
  <c r="C102" i="21"/>
  <c r="F102" i="21"/>
  <c r="C97" i="21"/>
  <c r="F97" i="21"/>
  <c r="C115" i="13"/>
  <c r="F115" i="13"/>
  <c r="C97" i="13"/>
  <c r="F97" i="13"/>
  <c r="C115" i="11"/>
  <c r="F115" i="11"/>
  <c r="C97" i="11"/>
  <c r="F97" i="11"/>
  <c r="C115" i="10"/>
  <c r="F115" i="10"/>
  <c r="C97" i="10"/>
  <c r="F97" i="10"/>
  <c r="C115" i="9"/>
  <c r="F115" i="9"/>
  <c r="C97" i="9"/>
  <c r="F97" i="9"/>
  <c r="C115" i="8"/>
  <c r="F115" i="8"/>
  <c r="C97" i="8"/>
  <c r="F97" i="8"/>
  <c r="C115" i="7"/>
  <c r="F115" i="7"/>
  <c r="C97" i="7"/>
  <c r="F97" i="7"/>
  <c r="C115" i="16"/>
  <c r="F115" i="16"/>
  <c r="C97" i="16"/>
  <c r="F97" i="16"/>
  <c r="C115" i="17"/>
  <c r="F115" i="17"/>
  <c r="C97" i="17"/>
  <c r="F97" i="17"/>
  <c r="C115" i="15"/>
  <c r="F115" i="15"/>
  <c r="C97" i="15"/>
  <c r="F97" i="15"/>
  <c r="C115" i="18"/>
  <c r="F115" i="18"/>
  <c r="C97" i="18"/>
  <c r="F97" i="18"/>
  <c r="F115" i="19"/>
  <c r="C115" i="19"/>
  <c r="C97" i="19"/>
  <c r="F97" i="19"/>
  <c r="F115" i="20"/>
  <c r="C115" i="20"/>
  <c r="F97" i="20"/>
  <c r="C97" i="20"/>
  <c r="F115" i="14"/>
  <c r="C115" i="14"/>
  <c r="B82" i="26"/>
  <c r="C82" i="26" s="1"/>
  <c r="D82" i="26" s="1"/>
  <c r="C16" i="26" s="1"/>
  <c r="B82" i="24"/>
  <c r="C82" i="24" s="1"/>
  <c r="D82" i="24" s="1"/>
  <c r="C16" i="24" s="1"/>
  <c r="B87" i="23"/>
  <c r="B82" i="23"/>
  <c r="C82" i="23" s="1"/>
  <c r="D82" i="23" s="1"/>
  <c r="C16" i="23" s="1"/>
  <c r="B117" i="22"/>
  <c r="B104" i="22"/>
  <c r="B87" i="22"/>
  <c r="B83" i="22"/>
  <c r="B82" i="22"/>
  <c r="C82" i="22" s="1"/>
  <c r="D82" i="22" s="1"/>
  <c r="C16" i="22" s="1"/>
  <c r="B117" i="21"/>
  <c r="C117" i="21" s="1"/>
  <c r="B117" i="13"/>
  <c r="F117" i="13" s="1"/>
  <c r="B104" i="13"/>
  <c r="B82" i="13"/>
  <c r="B117" i="11"/>
  <c r="B104" i="11"/>
  <c r="B82" i="11"/>
  <c r="C82" i="11" s="1"/>
  <c r="D82" i="11" s="1"/>
  <c r="C16" i="11" s="1"/>
  <c r="B117" i="10"/>
  <c r="B87" i="10"/>
  <c r="C87" i="10" s="1"/>
  <c r="D87" i="10" s="1"/>
  <c r="C21" i="10" s="1"/>
  <c r="E21" i="10" s="1"/>
  <c r="H21" i="10" s="1"/>
  <c r="B82" i="10"/>
  <c r="B117" i="9"/>
  <c r="F117" i="9" s="1"/>
  <c r="B87" i="9"/>
  <c r="C87" i="9" s="1"/>
  <c r="D87" i="9" s="1"/>
  <c r="C21" i="9" s="1"/>
  <c r="B82" i="9"/>
  <c r="C82" i="9" s="1"/>
  <c r="D82" i="9" s="1"/>
  <c r="C16" i="9" s="1"/>
  <c r="B117" i="8"/>
  <c r="F117" i="8" s="1"/>
  <c r="B87" i="8"/>
  <c r="B82" i="8"/>
  <c r="C82" i="8" s="1"/>
  <c r="D82" i="8" s="1"/>
  <c r="C16" i="8" s="1"/>
  <c r="B117" i="7"/>
  <c r="F117" i="7" s="1"/>
  <c r="B104" i="7"/>
  <c r="B87" i="7"/>
  <c r="C87" i="7" s="1"/>
  <c r="D87" i="7" s="1"/>
  <c r="C21" i="7" s="1"/>
  <c r="B82" i="7"/>
  <c r="B117" i="17"/>
  <c r="B104" i="17"/>
  <c r="B87" i="17"/>
  <c r="C87" i="17" s="1"/>
  <c r="D87" i="17" s="1"/>
  <c r="C21" i="17" s="1"/>
  <c r="B83" i="17"/>
  <c r="C83" i="17" s="1"/>
  <c r="D83" i="17" s="1"/>
  <c r="C17" i="17" s="1"/>
  <c r="B82" i="17"/>
  <c r="C82" i="17" s="1"/>
  <c r="D82" i="17" s="1"/>
  <c r="C16" i="17" s="1"/>
  <c r="B117" i="15"/>
  <c r="B117" i="18"/>
  <c r="F117" i="18" s="1"/>
  <c r="B104" i="18"/>
  <c r="B78" i="18"/>
  <c r="C78" i="18" s="1"/>
  <c r="D78" i="18" s="1"/>
  <c r="C9" i="18" s="1"/>
  <c r="B82" i="18"/>
  <c r="B87" i="14"/>
  <c r="C87" i="14" s="1"/>
  <c r="D87" i="14" s="1"/>
  <c r="C21" i="14" s="1"/>
  <c r="B87" i="5"/>
  <c r="C87" i="5" s="1"/>
  <c r="D87" i="5" s="1"/>
  <c r="C21" i="5" s="1"/>
  <c r="B117" i="19"/>
  <c r="F117" i="19" s="1"/>
  <c r="B82" i="19"/>
  <c r="B117" i="20"/>
  <c r="F117" i="20" s="1"/>
  <c r="B82" i="20"/>
  <c r="C82" i="20" s="1"/>
  <c r="D82" i="20" s="1"/>
  <c r="C16" i="20" s="1"/>
  <c r="B117" i="14"/>
  <c r="C117" i="14" s="1"/>
  <c r="B104" i="14"/>
  <c r="F97" i="14"/>
  <c r="B82" i="14"/>
  <c r="C82" i="14" s="1"/>
  <c r="D82" i="14" s="1"/>
  <c r="C16" i="14" s="1"/>
  <c r="B82" i="5"/>
  <c r="C82" i="5" s="1"/>
  <c r="D82" i="5" s="1"/>
  <c r="C16" i="5" s="1"/>
  <c r="P8" i="6"/>
  <c r="Q8" i="6" s="1"/>
  <c r="O28" i="6"/>
  <c r="P9" i="6"/>
  <c r="C22" i="14" s="1"/>
  <c r="L80" i="49" s="1"/>
  <c r="P10" i="6"/>
  <c r="C22" i="20" s="1"/>
  <c r="L81" i="49" s="1"/>
  <c r="P11" i="6"/>
  <c r="C22" i="19" s="1"/>
  <c r="L82" i="49" s="1"/>
  <c r="P12" i="6"/>
  <c r="C22" i="18" s="1"/>
  <c r="L83" i="49" s="1"/>
  <c r="P13" i="6"/>
  <c r="C22" i="15" s="1"/>
  <c r="L84" i="49" s="1"/>
  <c r="P14" i="6"/>
  <c r="C22" i="17" s="1"/>
  <c r="L85" i="49" s="1"/>
  <c r="P15" i="6"/>
  <c r="C22" i="16" s="1"/>
  <c r="L86" i="49" s="1"/>
  <c r="P16" i="6"/>
  <c r="C22" i="7" s="1"/>
  <c r="L87" i="49" s="1"/>
  <c r="P17" i="6"/>
  <c r="C22" i="8" s="1"/>
  <c r="L88" i="49" s="1"/>
  <c r="P18" i="6"/>
  <c r="C22" i="9" s="1"/>
  <c r="L89" i="49" s="1"/>
  <c r="P19" i="6"/>
  <c r="C22" i="10" s="1"/>
  <c r="L90" i="49" s="1"/>
  <c r="P20" i="6"/>
  <c r="C22" i="11" s="1"/>
  <c r="L91" i="49" s="1"/>
  <c r="P21" i="6"/>
  <c r="P22" i="6"/>
  <c r="C22" i="21" s="1"/>
  <c r="L93" i="49" s="1"/>
  <c r="P23" i="6"/>
  <c r="Q23" i="6" s="1"/>
  <c r="P24" i="6"/>
  <c r="C22" i="23" s="1"/>
  <c r="L95" i="49" s="1"/>
  <c r="P25" i="6"/>
  <c r="C22" i="24" s="1"/>
  <c r="L96" i="49" s="1"/>
  <c r="P26" i="6"/>
  <c r="P27" i="6"/>
  <c r="C22" i="26" s="1"/>
  <c r="L98" i="49" s="1"/>
  <c r="P7" i="6"/>
  <c r="Q7" i="6" s="1"/>
  <c r="E28" i="6"/>
  <c r="B113" i="6"/>
  <c r="C13" i="29"/>
  <c r="G8" i="30" s="1"/>
  <c r="C90" i="5"/>
  <c r="B90" i="5"/>
  <c r="B9" i="30"/>
  <c r="C81" i="5"/>
  <c r="D81" i="5" s="1"/>
  <c r="C15" i="5" s="1"/>
  <c r="B11" i="30"/>
  <c r="B12" i="30"/>
  <c r="C83" i="5"/>
  <c r="D83" i="5" s="1"/>
  <c r="C17" i="5" s="1"/>
  <c r="B13" i="30"/>
  <c r="C84" i="5"/>
  <c r="D84" i="5" s="1"/>
  <c r="C18" i="5" s="1"/>
  <c r="B14" i="30"/>
  <c r="C85" i="5"/>
  <c r="D85" i="5" s="1"/>
  <c r="C19" i="5" s="1"/>
  <c r="E19" i="5" s="1"/>
  <c r="C86" i="5"/>
  <c r="D86" i="5" s="1"/>
  <c r="C20" i="5" s="1"/>
  <c r="B16" i="30"/>
  <c r="B17" i="30"/>
  <c r="B18" i="30"/>
  <c r="C23" i="5"/>
  <c r="B19" i="30"/>
  <c r="C128" i="5"/>
  <c r="C25" i="5" s="1"/>
  <c r="B21" i="30"/>
  <c r="C22" i="31"/>
  <c r="C129" i="12" s="1"/>
  <c r="C26" i="12" s="1"/>
  <c r="B22" i="30"/>
  <c r="C23" i="31"/>
  <c r="C130" i="20" s="1"/>
  <c r="C27" i="20" s="1"/>
  <c r="C130" i="5"/>
  <c r="C27" i="5" s="1"/>
  <c r="G27" i="5" s="1"/>
  <c r="B23" i="30"/>
  <c r="C131" i="5"/>
  <c r="C28" i="5" s="1"/>
  <c r="B24" i="30"/>
  <c r="B138" i="5"/>
  <c r="C138" i="5" s="1"/>
  <c r="I7" i="6"/>
  <c r="I8" i="6"/>
  <c r="I9" i="6"/>
  <c r="I10" i="6"/>
  <c r="I11" i="6"/>
  <c r="I12" i="6"/>
  <c r="I13" i="6"/>
  <c r="I14" i="6"/>
  <c r="I15" i="6"/>
  <c r="I16" i="6"/>
  <c r="I17" i="6"/>
  <c r="I18" i="6"/>
  <c r="I19" i="6"/>
  <c r="I20" i="6"/>
  <c r="I21" i="6"/>
  <c r="I22" i="6"/>
  <c r="I23" i="6"/>
  <c r="I24" i="6"/>
  <c r="I25" i="6"/>
  <c r="I26" i="6"/>
  <c r="I27" i="6"/>
  <c r="B28" i="30"/>
  <c r="B27" i="30"/>
  <c r="B26" i="30"/>
  <c r="C144" i="5"/>
  <c r="C145" i="5" s="1"/>
  <c r="C35" i="5" s="1"/>
  <c r="B29" i="30"/>
  <c r="C37" i="5"/>
  <c r="B31" i="30"/>
  <c r="C134" i="5"/>
  <c r="C38" i="5" s="1"/>
  <c r="B32" i="30"/>
  <c r="B33" i="30"/>
  <c r="B34" i="30"/>
  <c r="B35" i="30"/>
  <c r="C127" i="5"/>
  <c r="C42" i="5" s="1"/>
  <c r="B36" i="30"/>
  <c r="C79" i="6"/>
  <c r="B39" i="30"/>
  <c r="B40" i="30"/>
  <c r="C59" i="6"/>
  <c r="C60" i="6"/>
  <c r="B42" i="30"/>
  <c r="C62" i="6"/>
  <c r="C63" i="6"/>
  <c r="C64" i="6"/>
  <c r="C65" i="6"/>
  <c r="B43" i="30"/>
  <c r="C66" i="6"/>
  <c r="B44" i="30"/>
  <c r="C67" i="6"/>
  <c r="B45" i="30"/>
  <c r="C68" i="6"/>
  <c r="B46" i="30"/>
  <c r="C70" i="6"/>
  <c r="C71" i="6"/>
  <c r="B47" i="30"/>
  <c r="C72" i="6"/>
  <c r="B48" i="30"/>
  <c r="C73" i="6"/>
  <c r="B49" i="30"/>
  <c r="B50" i="30"/>
  <c r="AB7" i="6"/>
  <c r="C63" i="5" s="1"/>
  <c r="B51" i="30"/>
  <c r="B52" i="30"/>
  <c r="C74" i="5"/>
  <c r="D74" i="5" s="1"/>
  <c r="C6" i="5" s="1"/>
  <c r="C75" i="5"/>
  <c r="D75" i="5" s="1"/>
  <c r="C7" i="5" s="1"/>
  <c r="C76" i="5"/>
  <c r="D76" i="5" s="1"/>
  <c r="C8" i="5" s="1"/>
  <c r="C78" i="5"/>
  <c r="D78" i="5" s="1"/>
  <c r="C9" i="5" s="1"/>
  <c r="B5" i="30"/>
  <c r="B6" i="30"/>
  <c r="B7" i="30"/>
  <c r="B8" i="30"/>
  <c r="E10" i="19" s="1"/>
  <c r="F10" i="19" s="1"/>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C77" i="5"/>
  <c r="D77" i="5" s="1"/>
  <c r="C46" i="5" s="1"/>
  <c r="K78" i="49" s="1"/>
  <c r="B38" i="30"/>
  <c r="I1" i="5"/>
  <c r="M1" i="5"/>
  <c r="D11" i="5"/>
  <c r="Q65" i="5"/>
  <c r="C133" i="5"/>
  <c r="G154" i="5"/>
  <c r="G161" i="5"/>
  <c r="C167" i="5"/>
  <c r="G169" i="5"/>
  <c r="C170" i="5"/>
  <c r="C171" i="5"/>
  <c r="G190" i="5"/>
  <c r="B202" i="5"/>
  <c r="F2" i="27"/>
  <c r="P29" i="27"/>
  <c r="P34" i="27" s="1"/>
  <c r="B26" i="31"/>
  <c r="C29" i="27" s="1"/>
  <c r="P42" i="27"/>
  <c r="C42" i="27"/>
  <c r="P43" i="27"/>
  <c r="C43" i="27"/>
  <c r="P46" i="27"/>
  <c r="C46" i="27"/>
  <c r="P47" i="27"/>
  <c r="C47" i="27"/>
  <c r="P48" i="27"/>
  <c r="C48" i="27"/>
  <c r="P49" i="27"/>
  <c r="C49" i="27"/>
  <c r="P50" i="27"/>
  <c r="C50" i="27"/>
  <c r="P51" i="27"/>
  <c r="C51" i="27"/>
  <c r="P52" i="27"/>
  <c r="C52" i="27"/>
  <c r="P56" i="27"/>
  <c r="C56" i="27"/>
  <c r="BO56" i="27" s="1"/>
  <c r="Q29" i="27"/>
  <c r="Q34" i="27" s="1"/>
  <c r="Q42" i="27"/>
  <c r="Q43" i="27"/>
  <c r="Q46" i="27"/>
  <c r="Q47" i="27"/>
  <c r="Q48" i="27"/>
  <c r="Q49" i="27"/>
  <c r="Q50" i="27"/>
  <c r="Q51" i="27"/>
  <c r="Q52" i="27"/>
  <c r="Q56" i="27"/>
  <c r="R29" i="27"/>
  <c r="R34" i="27" s="1"/>
  <c r="R42" i="27"/>
  <c r="R43" i="27"/>
  <c r="R46" i="27"/>
  <c r="R47" i="27"/>
  <c r="R48" i="27"/>
  <c r="R49" i="27"/>
  <c r="R50" i="27"/>
  <c r="R51" i="27"/>
  <c r="R52" i="27"/>
  <c r="R56" i="27"/>
  <c r="S29" i="27"/>
  <c r="S34" i="27" s="1"/>
  <c r="S42" i="27"/>
  <c r="S43" i="27"/>
  <c r="S46" i="27"/>
  <c r="S47" i="27"/>
  <c r="S48" i="27"/>
  <c r="S49" i="27"/>
  <c r="S50" i="27"/>
  <c r="S51" i="27"/>
  <c r="S52" i="27"/>
  <c r="S56" i="27"/>
  <c r="K2" i="27"/>
  <c r="L16" i="27" s="1"/>
  <c r="T8" i="27"/>
  <c r="T9" i="27"/>
  <c r="T10" i="27"/>
  <c r="T34" i="27"/>
  <c r="U8" i="27"/>
  <c r="U9" i="27"/>
  <c r="U10" i="27"/>
  <c r="U34" i="27"/>
  <c r="V8" i="27"/>
  <c r="V9" i="27"/>
  <c r="V10" i="27"/>
  <c r="V34" i="27"/>
  <c r="W8" i="27"/>
  <c r="W9" i="27"/>
  <c r="W10" i="27"/>
  <c r="W34" i="27"/>
  <c r="T7" i="27"/>
  <c r="U7" i="27"/>
  <c r="V7" i="27"/>
  <c r="W7" i="27"/>
  <c r="C14" i="27"/>
  <c r="C15" i="27"/>
  <c r="C16" i="27"/>
  <c r="C17" i="27"/>
  <c r="C18" i="27"/>
  <c r="C19" i="27"/>
  <c r="C20" i="27"/>
  <c r="C22" i="27"/>
  <c r="C24" i="27"/>
  <c r="C25" i="27"/>
  <c r="C26" i="27"/>
  <c r="C27" i="27"/>
  <c r="B34" i="5"/>
  <c r="B33" i="12"/>
  <c r="C30" i="27"/>
  <c r="C32" i="27"/>
  <c r="C35" i="27"/>
  <c r="C36" i="27"/>
  <c r="C37" i="27"/>
  <c r="C38" i="27"/>
  <c r="C39" i="27"/>
  <c r="C31" i="27"/>
  <c r="C41" i="27"/>
  <c r="B58" i="31"/>
  <c r="C55" i="27"/>
  <c r="P55" i="27"/>
  <c r="Q55" i="27"/>
  <c r="R55" i="27"/>
  <c r="S55" i="27"/>
  <c r="C45" i="27"/>
  <c r="P45" i="27"/>
  <c r="Q45" i="27"/>
  <c r="R45" i="27"/>
  <c r="S45" i="27"/>
  <c r="B9" i="31"/>
  <c r="C12" i="27" s="1"/>
  <c r="C90" i="12"/>
  <c r="B90" i="12"/>
  <c r="C81" i="12"/>
  <c r="D81" i="12" s="1"/>
  <c r="C15" i="12" s="1"/>
  <c r="C82" i="12"/>
  <c r="D82" i="12" s="1"/>
  <c r="C16" i="12" s="1"/>
  <c r="C83" i="12"/>
  <c r="D83" i="12" s="1"/>
  <c r="C17" i="12" s="1"/>
  <c r="C84" i="12"/>
  <c r="D84" i="12" s="1"/>
  <c r="C18" i="12" s="1"/>
  <c r="C85" i="12"/>
  <c r="D85" i="12" s="1"/>
  <c r="C19" i="12" s="1"/>
  <c r="E19" i="12" s="1"/>
  <c r="C86" i="12"/>
  <c r="D86" i="12" s="1"/>
  <c r="C20" i="12" s="1"/>
  <c r="C87" i="12"/>
  <c r="D87" i="12" s="1"/>
  <c r="C21" i="12" s="1"/>
  <c r="C23" i="12"/>
  <c r="C128" i="12"/>
  <c r="C25" i="12" s="1"/>
  <c r="C131" i="12"/>
  <c r="C28" i="12" s="1"/>
  <c r="B138" i="12"/>
  <c r="C138" i="12" s="1"/>
  <c r="C144" i="12"/>
  <c r="C145" i="12" s="1"/>
  <c r="C35" i="12" s="1"/>
  <c r="C37" i="12"/>
  <c r="C134" i="12"/>
  <c r="C38" i="12" s="1"/>
  <c r="C124" i="12"/>
  <c r="C39" i="12" s="1"/>
  <c r="C125" i="12"/>
  <c r="C40" i="12" s="1"/>
  <c r="C126" i="12"/>
  <c r="C41" i="12" s="1"/>
  <c r="C127" i="12"/>
  <c r="C42" i="12" s="1"/>
  <c r="AB8" i="6"/>
  <c r="C63" i="12" s="1"/>
  <c r="C74" i="12"/>
  <c r="D74" i="12" s="1"/>
  <c r="C6" i="12" s="1"/>
  <c r="C75" i="12"/>
  <c r="D75" i="12" s="1"/>
  <c r="C7" i="12" s="1"/>
  <c r="C76" i="12"/>
  <c r="D76" i="12" s="1"/>
  <c r="C8" i="12" s="1"/>
  <c r="C78" i="12"/>
  <c r="D78" i="12" s="1"/>
  <c r="C9" i="12" s="1"/>
  <c r="C77" i="12"/>
  <c r="D77" i="12" s="1"/>
  <c r="C46" i="12" s="1"/>
  <c r="K79" i="49" s="1"/>
  <c r="I1" i="12"/>
  <c r="M1" i="12"/>
  <c r="B6" i="12"/>
  <c r="B7" i="12"/>
  <c r="B8" i="12"/>
  <c r="B9" i="12"/>
  <c r="D11" i="12"/>
  <c r="B15" i="12"/>
  <c r="B16" i="12"/>
  <c r="B17" i="12"/>
  <c r="B18" i="12"/>
  <c r="B19" i="12"/>
  <c r="B20" i="12"/>
  <c r="B21" i="12"/>
  <c r="Q65" i="12"/>
  <c r="C133" i="12"/>
  <c r="D14" i="29"/>
  <c r="C75" i="14"/>
  <c r="D75" i="14" s="1"/>
  <c r="C7" i="14" s="1"/>
  <c r="C75" i="20"/>
  <c r="D75" i="20" s="1"/>
  <c r="C7" i="20" s="1"/>
  <c r="C75" i="19"/>
  <c r="D75" i="19" s="1"/>
  <c r="C7" i="19" s="1"/>
  <c r="C75" i="18"/>
  <c r="C75" i="15"/>
  <c r="D75" i="15" s="1"/>
  <c r="C7" i="15" s="1"/>
  <c r="C75" i="17"/>
  <c r="D75" i="17" s="1"/>
  <c r="C7" i="17" s="1"/>
  <c r="C75" i="16"/>
  <c r="D75" i="16" s="1"/>
  <c r="C7" i="16" s="1"/>
  <c r="C75" i="7"/>
  <c r="D75" i="7" s="1"/>
  <c r="C7" i="7" s="1"/>
  <c r="C75" i="8"/>
  <c r="D75" i="8" s="1"/>
  <c r="C7" i="8" s="1"/>
  <c r="C75" i="9"/>
  <c r="D75" i="9" s="1"/>
  <c r="C7" i="9" s="1"/>
  <c r="C75" i="10"/>
  <c r="D75" i="10" s="1"/>
  <c r="C7" i="10" s="1"/>
  <c r="C75" i="11"/>
  <c r="C75" i="13"/>
  <c r="D75" i="13" s="1"/>
  <c r="C7" i="13" s="1"/>
  <c r="C75" i="21"/>
  <c r="D75" i="21" s="1"/>
  <c r="C7" i="21" s="1"/>
  <c r="C75" i="22"/>
  <c r="D75" i="22" s="1"/>
  <c r="C7" i="22" s="1"/>
  <c r="C75" i="23"/>
  <c r="D75" i="23" s="1"/>
  <c r="C7" i="23" s="1"/>
  <c r="C75" i="24"/>
  <c r="D75" i="24" s="1"/>
  <c r="C7" i="24" s="1"/>
  <c r="C75" i="25"/>
  <c r="D75" i="25" s="1"/>
  <c r="C7" i="25" s="1"/>
  <c r="C75" i="26"/>
  <c r="D75" i="26" s="1"/>
  <c r="C7" i="26" s="1"/>
  <c r="C76" i="14"/>
  <c r="C76" i="20"/>
  <c r="D76" i="20" s="1"/>
  <c r="C8" i="20" s="1"/>
  <c r="C76" i="19"/>
  <c r="D76" i="19" s="1"/>
  <c r="C8" i="19" s="1"/>
  <c r="C76" i="18"/>
  <c r="D76" i="18" s="1"/>
  <c r="C8" i="18" s="1"/>
  <c r="C76" i="15"/>
  <c r="D76" i="15" s="1"/>
  <c r="C8" i="15" s="1"/>
  <c r="E8" i="15" s="1"/>
  <c r="C76" i="17"/>
  <c r="D76" i="17" s="1"/>
  <c r="C8" i="17" s="1"/>
  <c r="C76" i="16"/>
  <c r="D76" i="16" s="1"/>
  <c r="C8" i="16" s="1"/>
  <c r="C76" i="7"/>
  <c r="D76" i="7" s="1"/>
  <c r="C8" i="7" s="1"/>
  <c r="C76" i="8"/>
  <c r="D76" i="8" s="1"/>
  <c r="C8" i="8" s="1"/>
  <c r="C76" i="9"/>
  <c r="D76" i="9" s="1"/>
  <c r="C8" i="9" s="1"/>
  <c r="C76" i="10"/>
  <c r="D76" i="10" s="1"/>
  <c r="C8" i="10" s="1"/>
  <c r="C76" i="11"/>
  <c r="D76" i="11" s="1"/>
  <c r="C8" i="11" s="1"/>
  <c r="C76" i="13"/>
  <c r="D76" i="13" s="1"/>
  <c r="C8" i="13" s="1"/>
  <c r="E8" i="13" s="1"/>
  <c r="C76" i="21"/>
  <c r="D76" i="21" s="1"/>
  <c r="C8" i="21" s="1"/>
  <c r="C76" i="22"/>
  <c r="D76" i="22" s="1"/>
  <c r="C8" i="22" s="1"/>
  <c r="C76" i="23"/>
  <c r="D76" i="23" s="1"/>
  <c r="C8" i="23" s="1"/>
  <c r="C76" i="24"/>
  <c r="C76" i="25"/>
  <c r="D76" i="25" s="1"/>
  <c r="C8" i="25" s="1"/>
  <c r="C76" i="26"/>
  <c r="D76" i="26" s="1"/>
  <c r="C8" i="26" s="1"/>
  <c r="C78" i="14"/>
  <c r="C78" i="20"/>
  <c r="C78" i="19"/>
  <c r="D78" i="19" s="1"/>
  <c r="C9" i="19" s="1"/>
  <c r="E9" i="19" s="1"/>
  <c r="C78" i="15"/>
  <c r="C78" i="17"/>
  <c r="C78" i="16"/>
  <c r="D78" i="16" s="1"/>
  <c r="C9" i="16" s="1"/>
  <c r="C78" i="7"/>
  <c r="D78" i="7" s="1"/>
  <c r="C9" i="7" s="1"/>
  <c r="E9" i="7" s="1"/>
  <c r="C78" i="8"/>
  <c r="D78" i="8" s="1"/>
  <c r="C9" i="8" s="1"/>
  <c r="C78" i="9"/>
  <c r="D78" i="9" s="1"/>
  <c r="C9" i="9" s="1"/>
  <c r="C78" i="10"/>
  <c r="D78" i="10" s="1"/>
  <c r="C9" i="10" s="1"/>
  <c r="C78" i="11"/>
  <c r="D78" i="11" s="1"/>
  <c r="C9" i="11" s="1"/>
  <c r="E9" i="11" s="1"/>
  <c r="C78" i="13"/>
  <c r="C78" i="21"/>
  <c r="C78" i="22"/>
  <c r="D78" i="22" s="1"/>
  <c r="C9" i="22" s="1"/>
  <c r="C78" i="23"/>
  <c r="D78" i="23" s="1"/>
  <c r="C9" i="23" s="1"/>
  <c r="E9" i="23" s="1"/>
  <c r="C78" i="24"/>
  <c r="D78" i="24" s="1"/>
  <c r="C9" i="24" s="1"/>
  <c r="C78" i="25"/>
  <c r="D78" i="25" s="1"/>
  <c r="C9" i="25" s="1"/>
  <c r="C78" i="26"/>
  <c r="D78" i="26" s="1"/>
  <c r="C9" i="26" s="1"/>
  <c r="E10" i="16"/>
  <c r="F10" i="16" s="1"/>
  <c r="C81" i="14"/>
  <c r="D81" i="14" s="1"/>
  <c r="C15" i="14" s="1"/>
  <c r="C81" i="20"/>
  <c r="D81" i="20" s="1"/>
  <c r="C15" i="20" s="1"/>
  <c r="C81" i="19"/>
  <c r="D81" i="19" s="1"/>
  <c r="C15" i="19" s="1"/>
  <c r="C81" i="18"/>
  <c r="D81" i="18" s="1"/>
  <c r="C15" i="18" s="1"/>
  <c r="C81" i="15"/>
  <c r="D81" i="15" s="1"/>
  <c r="C15" i="15" s="1"/>
  <c r="C81" i="17"/>
  <c r="D81" i="17" s="1"/>
  <c r="C15" i="17" s="1"/>
  <c r="C81" i="16"/>
  <c r="D81" i="16" s="1"/>
  <c r="C15" i="16" s="1"/>
  <c r="C81" i="7"/>
  <c r="D81" i="7" s="1"/>
  <c r="C15" i="7" s="1"/>
  <c r="C81" i="8"/>
  <c r="D81" i="8" s="1"/>
  <c r="C15" i="8" s="1"/>
  <c r="C81" i="9"/>
  <c r="D81" i="9" s="1"/>
  <c r="C15" i="9" s="1"/>
  <c r="C81" i="10"/>
  <c r="D81" i="10" s="1"/>
  <c r="C15" i="10" s="1"/>
  <c r="C81" i="11"/>
  <c r="D81" i="11" s="1"/>
  <c r="C15" i="11" s="1"/>
  <c r="C81" i="13"/>
  <c r="D81" i="13" s="1"/>
  <c r="C15" i="13" s="1"/>
  <c r="C81" i="21"/>
  <c r="D81" i="21" s="1"/>
  <c r="C15" i="21" s="1"/>
  <c r="C81" i="22"/>
  <c r="D81" i="22" s="1"/>
  <c r="C15" i="22" s="1"/>
  <c r="C81" i="23"/>
  <c r="D81" i="23" s="1"/>
  <c r="C15" i="23" s="1"/>
  <c r="C81" i="24"/>
  <c r="D81" i="24" s="1"/>
  <c r="C15" i="24" s="1"/>
  <c r="C81" i="25"/>
  <c r="D81" i="25" s="1"/>
  <c r="C15" i="25" s="1"/>
  <c r="C81" i="26"/>
  <c r="D81" i="26" s="1"/>
  <c r="C15" i="26" s="1"/>
  <c r="C82" i="19"/>
  <c r="D82" i="19" s="1"/>
  <c r="C16" i="19" s="1"/>
  <c r="C82" i="18"/>
  <c r="D82" i="18" s="1"/>
  <c r="C16" i="18" s="1"/>
  <c r="C82" i="15"/>
  <c r="D82" i="15" s="1"/>
  <c r="C16" i="15" s="1"/>
  <c r="C82" i="16"/>
  <c r="D82" i="16" s="1"/>
  <c r="C16" i="16" s="1"/>
  <c r="C82" i="7"/>
  <c r="D82" i="7" s="1"/>
  <c r="C16" i="7" s="1"/>
  <c r="C82" i="10"/>
  <c r="D82" i="10" s="1"/>
  <c r="C16" i="10" s="1"/>
  <c r="C82" i="13"/>
  <c r="D82" i="13" s="1"/>
  <c r="C16" i="13" s="1"/>
  <c r="E16" i="13" s="1"/>
  <c r="C82" i="21"/>
  <c r="D82" i="21" s="1"/>
  <c r="C16" i="21" s="1"/>
  <c r="C82" i="25"/>
  <c r="D82" i="25" s="1"/>
  <c r="C16" i="25" s="1"/>
  <c r="C83" i="14"/>
  <c r="D83" i="14" s="1"/>
  <c r="C17" i="14" s="1"/>
  <c r="E17" i="14" s="1"/>
  <c r="C83" i="20"/>
  <c r="D83" i="20" s="1"/>
  <c r="C17" i="20" s="1"/>
  <c r="C83" i="19"/>
  <c r="D83" i="19" s="1"/>
  <c r="C17" i="19" s="1"/>
  <c r="E17" i="19" s="1"/>
  <c r="C83" i="18"/>
  <c r="D83" i="18" s="1"/>
  <c r="C17" i="18" s="1"/>
  <c r="E17" i="18" s="1"/>
  <c r="C83" i="15"/>
  <c r="D83" i="15" s="1"/>
  <c r="C17" i="15" s="1"/>
  <c r="E17" i="15" s="1"/>
  <c r="C83" i="16"/>
  <c r="D83" i="16" s="1"/>
  <c r="C17" i="16" s="1"/>
  <c r="C83" i="7"/>
  <c r="D83" i="7" s="1"/>
  <c r="C17" i="7" s="1"/>
  <c r="E17" i="7" s="1"/>
  <c r="F17" i="7" s="1"/>
  <c r="C83" i="8"/>
  <c r="D83" i="8" s="1"/>
  <c r="C17" i="8" s="1"/>
  <c r="C83" i="9"/>
  <c r="D83" i="9" s="1"/>
  <c r="C17" i="9" s="1"/>
  <c r="E17" i="9" s="1"/>
  <c r="F17" i="9" s="1"/>
  <c r="C83" i="10"/>
  <c r="D83" i="10" s="1"/>
  <c r="C17" i="10" s="1"/>
  <c r="C83" i="11"/>
  <c r="D83" i="11" s="1"/>
  <c r="C17" i="11" s="1"/>
  <c r="E17" i="11" s="1"/>
  <c r="G17" i="11" s="1"/>
  <c r="C83" i="13"/>
  <c r="D83" i="13" s="1"/>
  <c r="C17" i="13" s="1"/>
  <c r="E17" i="13" s="1"/>
  <c r="C83" i="21"/>
  <c r="D83" i="21" s="1"/>
  <c r="C17" i="21" s="1"/>
  <c r="E17" i="21" s="1"/>
  <c r="F17" i="21" s="1"/>
  <c r="C83" i="22"/>
  <c r="D83" i="22" s="1"/>
  <c r="C17" i="22" s="1"/>
  <c r="C83" i="23"/>
  <c r="D83" i="23" s="1"/>
  <c r="C17" i="23" s="1"/>
  <c r="E17" i="23" s="1"/>
  <c r="G17" i="23" s="1"/>
  <c r="C83" i="24"/>
  <c r="D83" i="24" s="1"/>
  <c r="C17" i="24" s="1"/>
  <c r="C83" i="25"/>
  <c r="D83" i="25" s="1"/>
  <c r="C17" i="25" s="1"/>
  <c r="E17" i="25" s="1"/>
  <c r="F17" i="25" s="1"/>
  <c r="C83" i="26"/>
  <c r="D83" i="26" s="1"/>
  <c r="C17" i="26" s="1"/>
  <c r="C84" i="14"/>
  <c r="D84" i="14" s="1"/>
  <c r="C18" i="14" s="1"/>
  <c r="C84" i="20"/>
  <c r="D84" i="20" s="1"/>
  <c r="C18" i="20" s="1"/>
  <c r="C84" i="19"/>
  <c r="D84" i="19" s="1"/>
  <c r="C18" i="19" s="1"/>
  <c r="C84" i="18"/>
  <c r="D84" i="18" s="1"/>
  <c r="C18" i="18" s="1"/>
  <c r="C84" i="15"/>
  <c r="D84" i="15" s="1"/>
  <c r="C18" i="15" s="1"/>
  <c r="C84" i="17"/>
  <c r="D84" i="17" s="1"/>
  <c r="C18" i="17" s="1"/>
  <c r="C84" i="16"/>
  <c r="D84" i="16" s="1"/>
  <c r="C18" i="16" s="1"/>
  <c r="C84" i="7"/>
  <c r="D84" i="7" s="1"/>
  <c r="C18" i="7" s="1"/>
  <c r="C84" i="8"/>
  <c r="D84" i="8" s="1"/>
  <c r="C18" i="8" s="1"/>
  <c r="C84" i="9"/>
  <c r="D84" i="9" s="1"/>
  <c r="C18" i="9" s="1"/>
  <c r="C84" i="10"/>
  <c r="D84" i="10" s="1"/>
  <c r="C18" i="10" s="1"/>
  <c r="C84" i="11"/>
  <c r="D84" i="11" s="1"/>
  <c r="C18" i="11" s="1"/>
  <c r="C84" i="13"/>
  <c r="D84" i="13" s="1"/>
  <c r="C18" i="13" s="1"/>
  <c r="C84" i="21"/>
  <c r="D84" i="21" s="1"/>
  <c r="C18" i="21" s="1"/>
  <c r="C84" i="22"/>
  <c r="D84" i="22" s="1"/>
  <c r="C18" i="22" s="1"/>
  <c r="C84" i="23"/>
  <c r="D84" i="23" s="1"/>
  <c r="C18" i="23" s="1"/>
  <c r="C84" i="24"/>
  <c r="D84" i="24" s="1"/>
  <c r="C18" i="24" s="1"/>
  <c r="C84" i="25"/>
  <c r="D84" i="25" s="1"/>
  <c r="C18" i="25" s="1"/>
  <c r="C84" i="26"/>
  <c r="D84" i="26" s="1"/>
  <c r="C18" i="26" s="1"/>
  <c r="C85" i="14"/>
  <c r="D85" i="14" s="1"/>
  <c r="C19" i="14" s="1"/>
  <c r="E19" i="14" s="1"/>
  <c r="C85" i="20"/>
  <c r="D85" i="20" s="1"/>
  <c r="C19" i="20" s="1"/>
  <c r="E19" i="20" s="1"/>
  <c r="C85" i="19"/>
  <c r="D85" i="19" s="1"/>
  <c r="C19" i="19" s="1"/>
  <c r="C85" i="18"/>
  <c r="D85" i="18" s="1"/>
  <c r="C19" i="18" s="1"/>
  <c r="C85" i="15"/>
  <c r="D85" i="15" s="1"/>
  <c r="C19" i="15" s="1"/>
  <c r="E19" i="15" s="1"/>
  <c r="C85" i="17"/>
  <c r="D85" i="17" s="1"/>
  <c r="C19" i="17" s="1"/>
  <c r="C85" i="16"/>
  <c r="D85" i="16" s="1"/>
  <c r="C19" i="16" s="1"/>
  <c r="C85" i="7"/>
  <c r="D85" i="7" s="1"/>
  <c r="C19" i="7" s="1"/>
  <c r="C85" i="8"/>
  <c r="D85" i="8" s="1"/>
  <c r="C19" i="8" s="1"/>
  <c r="E19" i="8" s="1"/>
  <c r="C85" i="9"/>
  <c r="D85" i="9" s="1"/>
  <c r="C19" i="9" s="1"/>
  <c r="E19" i="9" s="1"/>
  <c r="C85" i="10"/>
  <c r="D85" i="10" s="1"/>
  <c r="C19" i="10" s="1"/>
  <c r="C85" i="11"/>
  <c r="D85" i="11" s="1"/>
  <c r="C19" i="11" s="1"/>
  <c r="C85" i="13"/>
  <c r="D85" i="13" s="1"/>
  <c r="C19" i="13" s="1"/>
  <c r="E19" i="13" s="1"/>
  <c r="C85" i="21"/>
  <c r="D85" i="21" s="1"/>
  <c r="C19" i="21" s="1"/>
  <c r="E19" i="21" s="1"/>
  <c r="C85" i="22"/>
  <c r="D85" i="22" s="1"/>
  <c r="C19" i="22" s="1"/>
  <c r="C85" i="23"/>
  <c r="D85" i="23" s="1"/>
  <c r="C19" i="23" s="1"/>
  <c r="C85" i="24"/>
  <c r="D85" i="24" s="1"/>
  <c r="C19" i="24" s="1"/>
  <c r="E19" i="24" s="1"/>
  <c r="C85" i="25"/>
  <c r="D85" i="25" s="1"/>
  <c r="C19" i="25" s="1"/>
  <c r="E19" i="25" s="1"/>
  <c r="C85" i="26"/>
  <c r="D85" i="26" s="1"/>
  <c r="C19" i="26" s="1"/>
  <c r="C86" i="14"/>
  <c r="D86" i="14" s="1"/>
  <c r="C20" i="14" s="1"/>
  <c r="C86" i="20"/>
  <c r="D86" i="20" s="1"/>
  <c r="C20" i="20" s="1"/>
  <c r="C86" i="19"/>
  <c r="D86" i="19" s="1"/>
  <c r="C20" i="19" s="1"/>
  <c r="C86" i="18"/>
  <c r="D86" i="18" s="1"/>
  <c r="C20" i="18" s="1"/>
  <c r="E20" i="18" s="1"/>
  <c r="C86" i="15"/>
  <c r="D86" i="15" s="1"/>
  <c r="C20" i="15" s="1"/>
  <c r="C86" i="17"/>
  <c r="D86" i="17" s="1"/>
  <c r="C20" i="17" s="1"/>
  <c r="C86" i="16"/>
  <c r="D86" i="16" s="1"/>
  <c r="C20" i="16" s="1"/>
  <c r="C86" i="7"/>
  <c r="D86" i="7" s="1"/>
  <c r="C20" i="7" s="1"/>
  <c r="C86" i="8"/>
  <c r="D86" i="8" s="1"/>
  <c r="C20" i="8" s="1"/>
  <c r="C86" i="9"/>
  <c r="D86" i="9" s="1"/>
  <c r="C20" i="9" s="1"/>
  <c r="C86" i="10"/>
  <c r="D86" i="10" s="1"/>
  <c r="C20" i="10" s="1"/>
  <c r="C86" i="11"/>
  <c r="D86" i="11" s="1"/>
  <c r="C20" i="11" s="1"/>
  <c r="E20" i="11" s="1"/>
  <c r="C86" i="13"/>
  <c r="D86" i="13" s="1"/>
  <c r="C20" i="13" s="1"/>
  <c r="C86" i="21"/>
  <c r="D86" i="21" s="1"/>
  <c r="C20" i="21" s="1"/>
  <c r="C86" i="22"/>
  <c r="D86" i="22" s="1"/>
  <c r="C20" i="22" s="1"/>
  <c r="C86" i="23"/>
  <c r="D86" i="23" s="1"/>
  <c r="C20" i="23" s="1"/>
  <c r="C86" i="24"/>
  <c r="D86" i="24" s="1"/>
  <c r="C20" i="24" s="1"/>
  <c r="C86" i="25"/>
  <c r="D86" i="25" s="1"/>
  <c r="C20" i="25" s="1"/>
  <c r="C86" i="26"/>
  <c r="D86" i="26" s="1"/>
  <c r="C20" i="26" s="1"/>
  <c r="C87" i="20"/>
  <c r="D87" i="20" s="1"/>
  <c r="C21" i="20" s="1"/>
  <c r="C87" i="19"/>
  <c r="D87" i="19" s="1"/>
  <c r="C21" i="19" s="1"/>
  <c r="C87" i="18"/>
  <c r="D87" i="18" s="1"/>
  <c r="C21" i="18" s="1"/>
  <c r="C87" i="15"/>
  <c r="D87" i="15" s="1"/>
  <c r="C21" i="15" s="1"/>
  <c r="C87" i="16"/>
  <c r="D87" i="16" s="1"/>
  <c r="C21" i="16" s="1"/>
  <c r="C87" i="8"/>
  <c r="D87" i="8" s="1"/>
  <c r="C21" i="8" s="1"/>
  <c r="C87" i="11"/>
  <c r="D87" i="11" s="1"/>
  <c r="C21" i="11" s="1"/>
  <c r="C87" i="13"/>
  <c r="D87" i="13" s="1"/>
  <c r="C21" i="13" s="1"/>
  <c r="C87" i="21"/>
  <c r="D87" i="21" s="1"/>
  <c r="C21" i="21" s="1"/>
  <c r="C87" i="22"/>
  <c r="D87" i="22" s="1"/>
  <c r="C21" i="22" s="1"/>
  <c r="C87" i="23"/>
  <c r="D87" i="23" s="1"/>
  <c r="C21" i="23" s="1"/>
  <c r="C87" i="24"/>
  <c r="D87" i="24" s="1"/>
  <c r="C21" i="24" s="1"/>
  <c r="C87" i="25"/>
  <c r="D87" i="25" s="1"/>
  <c r="C21" i="25" s="1"/>
  <c r="C87" i="26"/>
  <c r="D87" i="26" s="1"/>
  <c r="C21" i="26" s="1"/>
  <c r="E21" i="26" s="1"/>
  <c r="C23" i="14"/>
  <c r="C23" i="20"/>
  <c r="C23" i="19"/>
  <c r="E23" i="19" s="1"/>
  <c r="G23" i="19" s="1"/>
  <c r="C23" i="18"/>
  <c r="C23" i="15"/>
  <c r="C23" i="17"/>
  <c r="C23" i="16"/>
  <c r="C23" i="7"/>
  <c r="C23" i="8"/>
  <c r="C23" i="9"/>
  <c r="C23" i="10"/>
  <c r="E23" i="10" s="1"/>
  <c r="H23" i="10" s="1"/>
  <c r="C23" i="11"/>
  <c r="C23" i="13"/>
  <c r="C23" i="21"/>
  <c r="C23" i="22"/>
  <c r="C23" i="23"/>
  <c r="C23" i="24"/>
  <c r="C23" i="25"/>
  <c r="C23" i="26"/>
  <c r="E23" i="26" s="1"/>
  <c r="H23" i="26" s="1"/>
  <c r="C128" i="14"/>
  <c r="C25" i="14" s="1"/>
  <c r="C128" i="20"/>
  <c r="C25" i="20" s="1"/>
  <c r="C128" i="19"/>
  <c r="C25" i="19" s="1"/>
  <c r="C128" i="18"/>
  <c r="C25" i="18" s="1"/>
  <c r="C128" i="15"/>
  <c r="C25" i="15" s="1"/>
  <c r="C128" i="17"/>
  <c r="C25" i="17" s="1"/>
  <c r="C128" i="16"/>
  <c r="C25" i="16" s="1"/>
  <c r="C128" i="7"/>
  <c r="C25" i="7" s="1"/>
  <c r="C128" i="8"/>
  <c r="C25" i="8" s="1"/>
  <c r="C128" i="9"/>
  <c r="C25" i="9" s="1"/>
  <c r="C128" i="10"/>
  <c r="C25" i="10" s="1"/>
  <c r="C128" i="11"/>
  <c r="C25" i="11" s="1"/>
  <c r="C128" i="13"/>
  <c r="C25" i="13" s="1"/>
  <c r="C128" i="21"/>
  <c r="C25" i="21" s="1"/>
  <c r="C128" i="22"/>
  <c r="C25" i="22" s="1"/>
  <c r="C128" i="23"/>
  <c r="C25" i="23" s="1"/>
  <c r="C128" i="24"/>
  <c r="C25" i="24" s="1"/>
  <c r="C128" i="25"/>
  <c r="C25" i="25" s="1"/>
  <c r="C128" i="26"/>
  <c r="C25" i="26" s="1"/>
  <c r="C129" i="17"/>
  <c r="C26" i="17" s="1"/>
  <c r="H26" i="17" s="1"/>
  <c r="C129" i="21"/>
  <c r="C26" i="21" s="1"/>
  <c r="C130" i="16"/>
  <c r="C27" i="16" s="1"/>
  <c r="C130" i="9"/>
  <c r="C27" i="9" s="1"/>
  <c r="E27" i="9" s="1"/>
  <c r="C130" i="21"/>
  <c r="C27" i="21" s="1"/>
  <c r="E27" i="21" s="1"/>
  <c r="C130" i="22"/>
  <c r="C27" i="22" s="1"/>
  <c r="C131" i="14"/>
  <c r="C28" i="14" s="1"/>
  <c r="C131" i="20"/>
  <c r="C28" i="20" s="1"/>
  <c r="C131" i="19"/>
  <c r="C28" i="19" s="1"/>
  <c r="C131" i="18"/>
  <c r="C28" i="18" s="1"/>
  <c r="C131" i="15"/>
  <c r="C28" i="15" s="1"/>
  <c r="C131" i="17"/>
  <c r="C28" i="17" s="1"/>
  <c r="C131" i="16"/>
  <c r="C28" i="16" s="1"/>
  <c r="C131" i="7"/>
  <c r="C28" i="7" s="1"/>
  <c r="C131" i="8"/>
  <c r="C28" i="8" s="1"/>
  <c r="C131" i="9"/>
  <c r="C28" i="9" s="1"/>
  <c r="C131" i="10"/>
  <c r="C28" i="10" s="1"/>
  <c r="C131" i="11"/>
  <c r="C28" i="11" s="1"/>
  <c r="C131" i="13"/>
  <c r="C28" i="13" s="1"/>
  <c r="C131" i="21"/>
  <c r="C28" i="21" s="1"/>
  <c r="C131" i="22"/>
  <c r="C28" i="22" s="1"/>
  <c r="C131" i="23"/>
  <c r="C28" i="23" s="1"/>
  <c r="C131" i="24"/>
  <c r="C28" i="24" s="1"/>
  <c r="C131" i="25"/>
  <c r="C28" i="25" s="1"/>
  <c r="C131" i="26"/>
  <c r="C28" i="26" s="1"/>
  <c r="C90" i="14"/>
  <c r="B90" i="14"/>
  <c r="C90" i="20"/>
  <c r="B90" i="20"/>
  <c r="C90" i="19"/>
  <c r="B90" i="19"/>
  <c r="C90" i="18"/>
  <c r="B90" i="18"/>
  <c r="C90" i="15"/>
  <c r="B90" i="15"/>
  <c r="C90" i="17"/>
  <c r="B90" i="17"/>
  <c r="C90" i="16"/>
  <c r="B90" i="16"/>
  <c r="C90" i="7"/>
  <c r="B90" i="7"/>
  <c r="C90" i="8"/>
  <c r="B90" i="8"/>
  <c r="C90" i="9"/>
  <c r="B90" i="9"/>
  <c r="C90" i="10"/>
  <c r="B90" i="10"/>
  <c r="C90" i="11"/>
  <c r="B90" i="11"/>
  <c r="C90" i="13"/>
  <c r="B90" i="13"/>
  <c r="C90" i="21"/>
  <c r="B90" i="21"/>
  <c r="C90" i="22"/>
  <c r="B90" i="22"/>
  <c r="C90" i="23"/>
  <c r="B90" i="23"/>
  <c r="C90" i="24"/>
  <c r="B90" i="24"/>
  <c r="C90" i="25"/>
  <c r="B90" i="25"/>
  <c r="C90" i="26"/>
  <c r="B90" i="26"/>
  <c r="C144" i="14"/>
  <c r="C145" i="14" s="1"/>
  <c r="C35" i="14" s="1"/>
  <c r="C144" i="20"/>
  <c r="C145" i="20" s="1"/>
  <c r="C35" i="20" s="1"/>
  <c r="C144" i="19"/>
  <c r="C145" i="19" s="1"/>
  <c r="C35" i="19" s="1"/>
  <c r="C144" i="18"/>
  <c r="C145" i="18" s="1"/>
  <c r="C35" i="18" s="1"/>
  <c r="C144" i="15"/>
  <c r="C145" i="15" s="1"/>
  <c r="C35" i="15" s="1"/>
  <c r="C144" i="17"/>
  <c r="C145" i="17" s="1"/>
  <c r="C35" i="17" s="1"/>
  <c r="C144" i="16"/>
  <c r="C145" i="16" s="1"/>
  <c r="C35" i="16" s="1"/>
  <c r="C144" i="7"/>
  <c r="C145" i="7" s="1"/>
  <c r="C35" i="7" s="1"/>
  <c r="C144" i="8"/>
  <c r="C145" i="8" s="1"/>
  <c r="C35" i="8" s="1"/>
  <c r="C144" i="9"/>
  <c r="C145" i="9" s="1"/>
  <c r="C35" i="9" s="1"/>
  <c r="C144" i="10"/>
  <c r="C145" i="10" s="1"/>
  <c r="C35" i="10" s="1"/>
  <c r="C144" i="11"/>
  <c r="C145" i="11" s="1"/>
  <c r="C35" i="11" s="1"/>
  <c r="C144" i="13"/>
  <c r="C145" i="13" s="1"/>
  <c r="C35" i="13" s="1"/>
  <c r="C144" i="21"/>
  <c r="C145" i="21" s="1"/>
  <c r="C35" i="21" s="1"/>
  <c r="C144" i="22"/>
  <c r="C145" i="22" s="1"/>
  <c r="C35" i="22" s="1"/>
  <c r="C144" i="23"/>
  <c r="C145" i="23" s="1"/>
  <c r="C35" i="23" s="1"/>
  <c r="C144" i="24"/>
  <c r="C145" i="24" s="1"/>
  <c r="C35" i="24" s="1"/>
  <c r="C144" i="25"/>
  <c r="C145" i="25" s="1"/>
  <c r="C35" i="25" s="1"/>
  <c r="C144" i="26"/>
  <c r="C145" i="26" s="1"/>
  <c r="C35" i="26" s="1"/>
  <c r="C37" i="14"/>
  <c r="C37" i="20"/>
  <c r="C37" i="19"/>
  <c r="C37" i="18"/>
  <c r="C37" i="15"/>
  <c r="C37" i="17"/>
  <c r="C37" i="16"/>
  <c r="C37" i="7"/>
  <c r="C37" i="8"/>
  <c r="C37" i="9"/>
  <c r="C37" i="10"/>
  <c r="C37" i="11"/>
  <c r="C37" i="13"/>
  <c r="C37" i="21"/>
  <c r="C37" i="22"/>
  <c r="C37" i="23"/>
  <c r="C37" i="24"/>
  <c r="C37" i="25"/>
  <c r="C37" i="26"/>
  <c r="C38" i="14"/>
  <c r="C134" i="20"/>
  <c r="C38" i="20" s="1"/>
  <c r="C134" i="19"/>
  <c r="C38" i="19" s="1"/>
  <c r="C134" i="18"/>
  <c r="C38" i="18" s="1"/>
  <c r="C134" i="15"/>
  <c r="C38" i="15" s="1"/>
  <c r="C134" i="17"/>
  <c r="C38" i="17" s="1"/>
  <c r="C134" i="16"/>
  <c r="C38" i="16" s="1"/>
  <c r="C134" i="7"/>
  <c r="C38" i="7" s="1"/>
  <c r="C134" i="8"/>
  <c r="C38" i="8" s="1"/>
  <c r="C134" i="9"/>
  <c r="C38" i="9" s="1"/>
  <c r="C134" i="10"/>
  <c r="C38" i="10" s="1"/>
  <c r="C38" i="11"/>
  <c r="C134" i="13"/>
  <c r="C38" i="13" s="1"/>
  <c r="C134" i="21"/>
  <c r="C38" i="21" s="1"/>
  <c r="C38" i="22"/>
  <c r="C134" i="23"/>
  <c r="C38" i="23" s="1"/>
  <c r="C38" i="24"/>
  <c r="C134" i="25"/>
  <c r="C38" i="25" s="1"/>
  <c r="C134" i="26"/>
  <c r="C38" i="26" s="1"/>
  <c r="C124" i="14"/>
  <c r="C39" i="14" s="1"/>
  <c r="C124" i="20"/>
  <c r="C39" i="20" s="1"/>
  <c r="C124" i="19"/>
  <c r="C39" i="19" s="1"/>
  <c r="C124" i="18"/>
  <c r="C39" i="18" s="1"/>
  <c r="C124" i="15"/>
  <c r="C39" i="15" s="1"/>
  <c r="C124" i="17"/>
  <c r="C39" i="17" s="1"/>
  <c r="C124" i="16"/>
  <c r="C39" i="16" s="1"/>
  <c r="C124" i="7"/>
  <c r="C39" i="7" s="1"/>
  <c r="C124" i="8"/>
  <c r="C39" i="8" s="1"/>
  <c r="C124" i="9"/>
  <c r="C39" i="9" s="1"/>
  <c r="C124" i="10"/>
  <c r="C39" i="10" s="1"/>
  <c r="C124" i="11"/>
  <c r="C39" i="11" s="1"/>
  <c r="C124" i="13"/>
  <c r="C39" i="13" s="1"/>
  <c r="C124" i="21"/>
  <c r="C39" i="21" s="1"/>
  <c r="C124" i="22"/>
  <c r="C39" i="22" s="1"/>
  <c r="C124" i="23"/>
  <c r="C39" i="23" s="1"/>
  <c r="C124" i="24"/>
  <c r="C39" i="24" s="1"/>
  <c r="C124" i="25"/>
  <c r="C39" i="25" s="1"/>
  <c r="C124" i="26"/>
  <c r="C39" i="26" s="1"/>
  <c r="C125" i="14"/>
  <c r="C40" i="14" s="1"/>
  <c r="C125" i="20"/>
  <c r="C40" i="20" s="1"/>
  <c r="C125" i="19"/>
  <c r="C40" i="19" s="1"/>
  <c r="C125" i="18"/>
  <c r="C40" i="18" s="1"/>
  <c r="C125" i="15"/>
  <c r="C40" i="15" s="1"/>
  <c r="C125" i="17"/>
  <c r="C40" i="17" s="1"/>
  <c r="C125" i="16"/>
  <c r="C40" i="16" s="1"/>
  <c r="C125" i="7"/>
  <c r="C40" i="7" s="1"/>
  <c r="C125" i="8"/>
  <c r="C40" i="8" s="1"/>
  <c r="C125" i="9"/>
  <c r="C40" i="9" s="1"/>
  <c r="C125" i="10"/>
  <c r="C40" i="10" s="1"/>
  <c r="C125" i="11"/>
  <c r="C40" i="11" s="1"/>
  <c r="C125" i="13"/>
  <c r="C40" i="13" s="1"/>
  <c r="C125" i="21"/>
  <c r="C40" i="21" s="1"/>
  <c r="C125" i="22"/>
  <c r="C40" i="22" s="1"/>
  <c r="C125" i="23"/>
  <c r="C40" i="23" s="1"/>
  <c r="C125" i="24"/>
  <c r="C40" i="24" s="1"/>
  <c r="C125" i="25"/>
  <c r="C40" i="25" s="1"/>
  <c r="C125" i="26"/>
  <c r="C40" i="26" s="1"/>
  <c r="C126" i="14"/>
  <c r="C41" i="14" s="1"/>
  <c r="C126" i="20"/>
  <c r="C41" i="20" s="1"/>
  <c r="C126" i="19"/>
  <c r="C41" i="19" s="1"/>
  <c r="C126" i="18"/>
  <c r="C41" i="18" s="1"/>
  <c r="C126" i="15"/>
  <c r="C41" i="15" s="1"/>
  <c r="C126" i="17"/>
  <c r="C41" i="17" s="1"/>
  <c r="C126" i="16"/>
  <c r="C41" i="16" s="1"/>
  <c r="C126" i="7"/>
  <c r="C41" i="7" s="1"/>
  <c r="C126" i="8"/>
  <c r="C41" i="8" s="1"/>
  <c r="C126" i="9"/>
  <c r="C41" i="9" s="1"/>
  <c r="C126" i="10"/>
  <c r="C41" i="10" s="1"/>
  <c r="C126" i="11"/>
  <c r="C41" i="11" s="1"/>
  <c r="C126" i="13"/>
  <c r="C41" i="13" s="1"/>
  <c r="C126" i="21"/>
  <c r="C41" i="21" s="1"/>
  <c r="C126" i="22"/>
  <c r="C41" i="22" s="1"/>
  <c r="C126" i="23"/>
  <c r="C41" i="23" s="1"/>
  <c r="C126" i="24"/>
  <c r="C41" i="24" s="1"/>
  <c r="C126" i="25"/>
  <c r="C41" i="25" s="1"/>
  <c r="C126" i="26"/>
  <c r="C41" i="26" s="1"/>
  <c r="C127" i="14"/>
  <c r="C42" i="14" s="1"/>
  <c r="C127" i="20"/>
  <c r="C42" i="20" s="1"/>
  <c r="C127" i="19"/>
  <c r="C42" i="19" s="1"/>
  <c r="C127" i="18"/>
  <c r="C42" i="18" s="1"/>
  <c r="C127" i="15"/>
  <c r="C42" i="15" s="1"/>
  <c r="C127" i="17"/>
  <c r="C42" i="17" s="1"/>
  <c r="C127" i="16"/>
  <c r="C42" i="16" s="1"/>
  <c r="C127" i="7"/>
  <c r="C42" i="7" s="1"/>
  <c r="C127" i="8"/>
  <c r="C42" i="8" s="1"/>
  <c r="C127" i="9"/>
  <c r="C42" i="9" s="1"/>
  <c r="C127" i="10"/>
  <c r="C42" i="10" s="1"/>
  <c r="C127" i="11"/>
  <c r="C42" i="11" s="1"/>
  <c r="C127" i="13"/>
  <c r="C42" i="13" s="1"/>
  <c r="C127" i="21"/>
  <c r="C42" i="21" s="1"/>
  <c r="C127" i="22"/>
  <c r="C42" i="22" s="1"/>
  <c r="C127" i="23"/>
  <c r="C42" i="23" s="1"/>
  <c r="C127" i="24"/>
  <c r="C42" i="24" s="1"/>
  <c r="C127" i="25"/>
  <c r="C42" i="25" s="1"/>
  <c r="C127" i="26"/>
  <c r="C42" i="26" s="1"/>
  <c r="B138" i="14"/>
  <c r="C138" i="14" s="1"/>
  <c r="B139" i="14"/>
  <c r="B138" i="20"/>
  <c r="C138" i="20" s="1"/>
  <c r="B138" i="19"/>
  <c r="C138" i="19" s="1"/>
  <c r="B139" i="19"/>
  <c r="B138" i="18"/>
  <c r="C138" i="18" s="1"/>
  <c r="B138" i="15"/>
  <c r="C138" i="15" s="1"/>
  <c r="B139" i="15"/>
  <c r="B138" i="17"/>
  <c r="C138" i="17" s="1"/>
  <c r="B139" i="17"/>
  <c r="B138" i="16"/>
  <c r="C138" i="16" s="1"/>
  <c r="B139" i="16"/>
  <c r="B138" i="7"/>
  <c r="C138" i="7" s="1"/>
  <c r="B139" i="7"/>
  <c r="B138" i="8"/>
  <c r="C138" i="8" s="1"/>
  <c r="B139" i="8"/>
  <c r="B138" i="9"/>
  <c r="C138" i="9" s="1"/>
  <c r="B139" i="9"/>
  <c r="C138" i="10"/>
  <c r="B139" i="10"/>
  <c r="B138" i="11"/>
  <c r="C138" i="11" s="1"/>
  <c r="B139" i="11"/>
  <c r="B138" i="13"/>
  <c r="C138" i="13" s="1"/>
  <c r="B139" i="13"/>
  <c r="B138" i="21"/>
  <c r="C138" i="21" s="1"/>
  <c r="B139" i="21"/>
  <c r="B138" i="22"/>
  <c r="C138" i="22" s="1"/>
  <c r="B139" i="22"/>
  <c r="B138" i="23"/>
  <c r="C138" i="23" s="1"/>
  <c r="B139" i="23"/>
  <c r="B138" i="24"/>
  <c r="C138" i="24" s="1"/>
  <c r="B139" i="24"/>
  <c r="B138" i="25"/>
  <c r="C138" i="25" s="1"/>
  <c r="B139" i="25"/>
  <c r="B138" i="26"/>
  <c r="C138" i="26" s="1"/>
  <c r="B139" i="26"/>
  <c r="C77" i="14"/>
  <c r="D77" i="14" s="1"/>
  <c r="C46" i="14" s="1"/>
  <c r="K80" i="49" s="1"/>
  <c r="C77" i="20"/>
  <c r="D77" i="20" s="1"/>
  <c r="C46" i="20" s="1"/>
  <c r="K81" i="49" s="1"/>
  <c r="C77" i="19"/>
  <c r="D77" i="19" s="1"/>
  <c r="C46" i="19" s="1"/>
  <c r="K82" i="49" s="1"/>
  <c r="C77" i="18"/>
  <c r="D77" i="18" s="1"/>
  <c r="C46" i="18" s="1"/>
  <c r="K83" i="49" s="1"/>
  <c r="C77" i="15"/>
  <c r="D77" i="15" s="1"/>
  <c r="C46" i="15" s="1"/>
  <c r="K84" i="49" s="1"/>
  <c r="C77" i="17"/>
  <c r="D77" i="17" s="1"/>
  <c r="C46" i="17" s="1"/>
  <c r="K85" i="49" s="1"/>
  <c r="C77" i="16"/>
  <c r="D77" i="16" s="1"/>
  <c r="C46" i="16" s="1"/>
  <c r="K86" i="49" s="1"/>
  <c r="C77" i="7"/>
  <c r="D77" i="7" s="1"/>
  <c r="C46" i="7" s="1"/>
  <c r="K87" i="49" s="1"/>
  <c r="C77" i="8"/>
  <c r="D77" i="8" s="1"/>
  <c r="C46" i="8" s="1"/>
  <c r="K88" i="49" s="1"/>
  <c r="C77" i="9"/>
  <c r="D77" i="9" s="1"/>
  <c r="C46" i="9" s="1"/>
  <c r="K89" i="49" s="1"/>
  <c r="C77" i="10"/>
  <c r="D77" i="10" s="1"/>
  <c r="C46" i="10" s="1"/>
  <c r="K90" i="49" s="1"/>
  <c r="C77" i="11"/>
  <c r="D77" i="11" s="1"/>
  <c r="C46" i="11" s="1"/>
  <c r="K91" i="49" s="1"/>
  <c r="C77" i="13"/>
  <c r="D77" i="13" s="1"/>
  <c r="C46" i="13" s="1"/>
  <c r="K92" i="49" s="1"/>
  <c r="C77" i="21"/>
  <c r="D77" i="21" s="1"/>
  <c r="C46" i="21" s="1"/>
  <c r="K93" i="49" s="1"/>
  <c r="C77" i="22"/>
  <c r="D77" i="22" s="1"/>
  <c r="C46" i="22" s="1"/>
  <c r="K94" i="49" s="1"/>
  <c r="C77" i="23"/>
  <c r="D77" i="23" s="1"/>
  <c r="C46" i="23" s="1"/>
  <c r="K95" i="49" s="1"/>
  <c r="C77" i="24"/>
  <c r="D77" i="24" s="1"/>
  <c r="C46" i="24" s="1"/>
  <c r="K96" i="49" s="1"/>
  <c r="C77" i="25"/>
  <c r="D77" i="25" s="1"/>
  <c r="C46" i="25" s="1"/>
  <c r="K97" i="49" s="1"/>
  <c r="C77" i="26"/>
  <c r="D77" i="26" s="1"/>
  <c r="C46" i="26" s="1"/>
  <c r="K98" i="49" s="1"/>
  <c r="F100" i="14"/>
  <c r="C100" i="14"/>
  <c r="F102" i="14"/>
  <c r="C102" i="14"/>
  <c r="F100" i="20"/>
  <c r="C100" i="20"/>
  <c r="F102" i="20"/>
  <c r="C102" i="20"/>
  <c r="F100" i="19"/>
  <c r="C100" i="19"/>
  <c r="F102" i="19"/>
  <c r="C102" i="19"/>
  <c r="F100" i="18"/>
  <c r="C100" i="18"/>
  <c r="F102" i="18"/>
  <c r="C102" i="18"/>
  <c r="F100" i="15"/>
  <c r="C100" i="15"/>
  <c r="F102" i="15"/>
  <c r="C102" i="15"/>
  <c r="F100" i="17"/>
  <c r="C100" i="17"/>
  <c r="F101" i="17"/>
  <c r="C101" i="17"/>
  <c r="F102" i="17"/>
  <c r="C102" i="17"/>
  <c r="F100" i="16"/>
  <c r="C100" i="16"/>
  <c r="F102" i="16"/>
  <c r="C102" i="16"/>
  <c r="F100" i="7"/>
  <c r="C100" i="7"/>
  <c r="F102" i="7"/>
  <c r="C102" i="7"/>
  <c r="F100" i="8"/>
  <c r="C100" i="8"/>
  <c r="F102" i="8"/>
  <c r="C102" i="8"/>
  <c r="F100" i="9"/>
  <c r="C100" i="9"/>
  <c r="F102" i="9"/>
  <c r="C102" i="9"/>
  <c r="F100" i="10"/>
  <c r="C100" i="10"/>
  <c r="F102" i="10"/>
  <c r="C102" i="10"/>
  <c r="F100" i="11"/>
  <c r="C100" i="11"/>
  <c r="F102" i="11"/>
  <c r="C102" i="11"/>
  <c r="F100" i="13"/>
  <c r="C100" i="13"/>
  <c r="F102" i="13"/>
  <c r="C102" i="13"/>
  <c r="F100" i="21"/>
  <c r="C100" i="21"/>
  <c r="F100" i="22"/>
  <c r="C100" i="22"/>
  <c r="F102" i="22"/>
  <c r="C102" i="22"/>
  <c r="F106" i="14"/>
  <c r="C106" i="14"/>
  <c r="F106" i="20"/>
  <c r="C106" i="20"/>
  <c r="F106" i="19"/>
  <c r="C106" i="19"/>
  <c r="F106" i="18"/>
  <c r="C106" i="18"/>
  <c r="F106" i="15"/>
  <c r="C106" i="15"/>
  <c r="F106" i="17"/>
  <c r="C106" i="17"/>
  <c r="F106" i="16"/>
  <c r="C106" i="16"/>
  <c r="F106" i="7"/>
  <c r="C106" i="7"/>
  <c r="F106" i="8"/>
  <c r="C106" i="8"/>
  <c r="F106" i="9"/>
  <c r="C106" i="9"/>
  <c r="F106" i="10"/>
  <c r="C106" i="10"/>
  <c r="F106" i="11"/>
  <c r="C106" i="11"/>
  <c r="F106" i="13"/>
  <c r="C106" i="13"/>
  <c r="F106" i="21"/>
  <c r="C106" i="21"/>
  <c r="F106" i="22"/>
  <c r="C106" i="22"/>
  <c r="F108" i="14"/>
  <c r="C108" i="14"/>
  <c r="F108" i="20"/>
  <c r="C108" i="20"/>
  <c r="F108" i="19"/>
  <c r="C108" i="19"/>
  <c r="F108" i="18"/>
  <c r="C108" i="18"/>
  <c r="F108" i="15"/>
  <c r="C108" i="15"/>
  <c r="F108" i="17"/>
  <c r="C108" i="17"/>
  <c r="F108" i="16"/>
  <c r="C108" i="16"/>
  <c r="F108" i="7"/>
  <c r="C108" i="7"/>
  <c r="F108" i="8"/>
  <c r="C108" i="8"/>
  <c r="F108" i="9"/>
  <c r="C108" i="9"/>
  <c r="F108" i="10"/>
  <c r="C108" i="10"/>
  <c r="F108" i="11"/>
  <c r="C108" i="11"/>
  <c r="F108" i="13"/>
  <c r="C108" i="13"/>
  <c r="F108" i="21"/>
  <c r="C108" i="21"/>
  <c r="F108" i="22"/>
  <c r="C108" i="22"/>
  <c r="F110" i="14"/>
  <c r="C110" i="14"/>
  <c r="F110" i="20"/>
  <c r="C110" i="20"/>
  <c r="F110" i="19"/>
  <c r="C110" i="19"/>
  <c r="F110" i="18"/>
  <c r="C110" i="18"/>
  <c r="F110" i="15"/>
  <c r="C110" i="15"/>
  <c r="F110" i="17"/>
  <c r="C110" i="17"/>
  <c r="F110" i="16"/>
  <c r="C110" i="16"/>
  <c r="F110" i="7"/>
  <c r="C110" i="7"/>
  <c r="F110" i="8"/>
  <c r="C110" i="8"/>
  <c r="F110" i="9"/>
  <c r="C110" i="9"/>
  <c r="F110" i="10"/>
  <c r="C110" i="10"/>
  <c r="F110" i="11"/>
  <c r="C110" i="11"/>
  <c r="F110" i="13"/>
  <c r="C110" i="13"/>
  <c r="F110" i="21"/>
  <c r="C110" i="21"/>
  <c r="F110" i="22"/>
  <c r="C110" i="22"/>
  <c r="C117" i="20"/>
  <c r="C117" i="19"/>
  <c r="C117" i="18"/>
  <c r="F117" i="15"/>
  <c r="C117" i="15"/>
  <c r="F117" i="16"/>
  <c r="C117" i="16"/>
  <c r="C117" i="7"/>
  <c r="C117" i="9"/>
  <c r="C117" i="13"/>
  <c r="F117" i="21"/>
  <c r="F119" i="14"/>
  <c r="C119" i="14"/>
  <c r="F119" i="20"/>
  <c r="C119" i="20"/>
  <c r="F119" i="19"/>
  <c r="C119" i="19"/>
  <c r="F119" i="18"/>
  <c r="C119" i="18"/>
  <c r="F119" i="15"/>
  <c r="C119" i="15"/>
  <c r="F119" i="17"/>
  <c r="C119" i="17"/>
  <c r="F119" i="16"/>
  <c r="C119" i="16"/>
  <c r="F119" i="7"/>
  <c r="C119" i="7"/>
  <c r="F119" i="8"/>
  <c r="C119" i="8"/>
  <c r="F119" i="9"/>
  <c r="C119" i="9"/>
  <c r="F119" i="10"/>
  <c r="C119" i="10"/>
  <c r="F119" i="11"/>
  <c r="C119" i="11"/>
  <c r="F119" i="13"/>
  <c r="C119" i="13"/>
  <c r="F119" i="21"/>
  <c r="C119" i="21"/>
  <c r="F119" i="22"/>
  <c r="C119" i="22"/>
  <c r="E60" i="20"/>
  <c r="E60" i="9"/>
  <c r="E60" i="10"/>
  <c r="E60" i="11"/>
  <c r="E60" i="21"/>
  <c r="E60" i="23"/>
  <c r="B65" i="31"/>
  <c r="AB9" i="6"/>
  <c r="C63" i="14" s="1"/>
  <c r="AB10" i="6"/>
  <c r="C63" i="20" s="1"/>
  <c r="AB11" i="6"/>
  <c r="C63" i="19" s="1"/>
  <c r="AB12" i="6"/>
  <c r="C63" i="18" s="1"/>
  <c r="AB13" i="6"/>
  <c r="C63" i="15" s="1"/>
  <c r="AB14" i="6"/>
  <c r="C63" i="17" s="1"/>
  <c r="AB15" i="6"/>
  <c r="C63" i="16" s="1"/>
  <c r="AB16" i="6"/>
  <c r="C63" i="7" s="1"/>
  <c r="AB17" i="6"/>
  <c r="C63" i="8" s="1"/>
  <c r="AB18" i="6"/>
  <c r="C63" i="9" s="1"/>
  <c r="AB19" i="6"/>
  <c r="C63" i="10" s="1"/>
  <c r="AB20" i="6"/>
  <c r="C63" i="11" s="1"/>
  <c r="AB21" i="6"/>
  <c r="C63" i="13" s="1"/>
  <c r="AB22" i="6"/>
  <c r="C63" i="21" s="1"/>
  <c r="AB23" i="6"/>
  <c r="C63" i="22" s="1"/>
  <c r="AB24" i="6"/>
  <c r="C63" i="23" s="1"/>
  <c r="AB25" i="6"/>
  <c r="C63" i="24" s="1"/>
  <c r="AB26" i="6"/>
  <c r="C63" i="25" s="1"/>
  <c r="AB27" i="6"/>
  <c r="C63" i="26" s="1"/>
  <c r="C74" i="14"/>
  <c r="D74" i="14" s="1"/>
  <c r="C6" i="14" s="1"/>
  <c r="C74" i="20"/>
  <c r="D74" i="20" s="1"/>
  <c r="C6" i="20" s="1"/>
  <c r="C74" i="19"/>
  <c r="D74" i="19" s="1"/>
  <c r="C6" i="19" s="1"/>
  <c r="C74" i="18"/>
  <c r="D74" i="18" s="1"/>
  <c r="C6" i="18" s="1"/>
  <c r="C74" i="15"/>
  <c r="D74" i="15" s="1"/>
  <c r="C6" i="15" s="1"/>
  <c r="C74" i="17"/>
  <c r="D74" i="17" s="1"/>
  <c r="C6" i="17" s="1"/>
  <c r="E6" i="17" s="1"/>
  <c r="C74" i="16"/>
  <c r="D74" i="16" s="1"/>
  <c r="C6" i="16" s="1"/>
  <c r="C74" i="7"/>
  <c r="D74" i="7" s="1"/>
  <c r="C6" i="7" s="1"/>
  <c r="C74" i="8"/>
  <c r="D74" i="8" s="1"/>
  <c r="C6" i="8" s="1"/>
  <c r="C74" i="9"/>
  <c r="D74" i="9" s="1"/>
  <c r="C6" i="9" s="1"/>
  <c r="C74" i="10"/>
  <c r="D74" i="10" s="1"/>
  <c r="C6" i="10" s="1"/>
  <c r="E6" i="10" s="1"/>
  <c r="G6" i="10" s="1"/>
  <c r="C74" i="11"/>
  <c r="D74" i="11" s="1"/>
  <c r="C6" i="11" s="1"/>
  <c r="C74" i="13"/>
  <c r="D74" i="13" s="1"/>
  <c r="C6" i="13" s="1"/>
  <c r="C74" i="21"/>
  <c r="D74" i="21" s="1"/>
  <c r="C6" i="21" s="1"/>
  <c r="E6" i="21" s="1"/>
  <c r="C74" i="22"/>
  <c r="D74" i="22" s="1"/>
  <c r="C6" i="22" s="1"/>
  <c r="C74" i="23"/>
  <c r="D74" i="23" s="1"/>
  <c r="C6" i="23" s="1"/>
  <c r="E6" i="23" s="1"/>
  <c r="C74" i="24"/>
  <c r="D74" i="24" s="1"/>
  <c r="C6" i="24" s="1"/>
  <c r="E6" i="24" s="1"/>
  <c r="C74" i="25"/>
  <c r="D74" i="25" s="1"/>
  <c r="C6" i="25" s="1"/>
  <c r="C74" i="26"/>
  <c r="D74" i="26" s="1"/>
  <c r="C6" i="26" s="1"/>
  <c r="B34" i="32"/>
  <c r="C34" i="32"/>
  <c r="D34" i="32"/>
  <c r="E34" i="32"/>
  <c r="G7" i="6"/>
  <c r="G8" i="6"/>
  <c r="C64" i="12"/>
  <c r="G9" i="6"/>
  <c r="G10" i="6"/>
  <c r="G11" i="6"/>
  <c r="G12" i="6"/>
  <c r="G13" i="6"/>
  <c r="G14" i="6"/>
  <c r="C64" i="17"/>
  <c r="G15" i="6"/>
  <c r="C64" i="16"/>
  <c r="G16" i="6"/>
  <c r="G17" i="6"/>
  <c r="G18" i="6"/>
  <c r="C64" i="9"/>
  <c r="G19" i="6"/>
  <c r="C64" i="10"/>
  <c r="G20" i="6"/>
  <c r="C64" i="11"/>
  <c r="G21" i="6"/>
  <c r="G22" i="6"/>
  <c r="G23" i="6"/>
  <c r="C64" i="22"/>
  <c r="G24" i="6"/>
  <c r="G25" i="6"/>
  <c r="C64" i="24"/>
  <c r="G26" i="6"/>
  <c r="G27" i="6"/>
  <c r="C64" i="26"/>
  <c r="B28" i="6"/>
  <c r="C28" i="6"/>
  <c r="D28" i="6"/>
  <c r="F28" i="6"/>
  <c r="H28" i="6"/>
  <c r="Z28" i="6"/>
  <c r="B79" i="6"/>
  <c r="D79" i="6"/>
  <c r="I1" i="14"/>
  <c r="M1" i="14"/>
  <c r="B6" i="14"/>
  <c r="B7" i="14"/>
  <c r="B8" i="14"/>
  <c r="B9" i="14"/>
  <c r="D11" i="14"/>
  <c r="B15" i="14"/>
  <c r="B16" i="14"/>
  <c r="B17" i="14"/>
  <c r="B18" i="14"/>
  <c r="B19" i="14"/>
  <c r="B20" i="14"/>
  <c r="B21" i="14"/>
  <c r="Q65" i="14"/>
  <c r="C133" i="14"/>
  <c r="I1" i="20"/>
  <c r="M1" i="20"/>
  <c r="B6" i="20"/>
  <c r="B7" i="20"/>
  <c r="B8" i="20"/>
  <c r="B9" i="20"/>
  <c r="D11" i="20"/>
  <c r="B15" i="20"/>
  <c r="B16" i="20"/>
  <c r="B17" i="20"/>
  <c r="B18" i="20"/>
  <c r="B19" i="20"/>
  <c r="B20" i="20"/>
  <c r="B21" i="20"/>
  <c r="Q65" i="20"/>
  <c r="C133" i="20"/>
  <c r="I1" i="19"/>
  <c r="M1" i="19"/>
  <c r="B6" i="19"/>
  <c r="B7" i="19"/>
  <c r="B8" i="19"/>
  <c r="B9" i="19"/>
  <c r="D11" i="19"/>
  <c r="B15" i="19"/>
  <c r="B16" i="19"/>
  <c r="B17" i="19"/>
  <c r="B18" i="19"/>
  <c r="B19" i="19"/>
  <c r="B20" i="19"/>
  <c r="B21" i="19"/>
  <c r="Q65" i="19"/>
  <c r="B121" i="19"/>
  <c r="C133" i="19"/>
  <c r="AR34" i="27"/>
  <c r="AS12" i="27"/>
  <c r="AS34" i="27"/>
  <c r="AT12" i="27"/>
  <c r="AT34" i="27"/>
  <c r="AU12" i="27"/>
  <c r="AU34" i="27"/>
  <c r="BD12" i="27"/>
  <c r="BD14" i="27"/>
  <c r="BD15" i="27"/>
  <c r="BD16" i="27"/>
  <c r="BD17" i="27"/>
  <c r="BD18" i="27"/>
  <c r="BD19" i="27"/>
  <c r="BD20" i="27"/>
  <c r="BD21" i="27"/>
  <c r="BD22" i="27"/>
  <c r="BD24" i="27"/>
  <c r="BD25" i="27"/>
  <c r="BD26" i="27"/>
  <c r="BD27" i="27"/>
  <c r="BD31" i="27"/>
  <c r="BD30" i="27"/>
  <c r="BD34" i="27"/>
  <c r="B30" i="32"/>
  <c r="BL51" i="27" s="1"/>
  <c r="BD32" i="27"/>
  <c r="BD35" i="27"/>
  <c r="BD36" i="27"/>
  <c r="BD37" i="27"/>
  <c r="BD38" i="27"/>
  <c r="BD39" i="27"/>
  <c r="B29" i="32"/>
  <c r="BE12" i="27"/>
  <c r="BE14" i="27"/>
  <c r="BE15" i="27"/>
  <c r="BE16" i="27"/>
  <c r="BE17" i="27"/>
  <c r="BE18" i="27"/>
  <c r="BE19" i="27"/>
  <c r="BE20" i="27"/>
  <c r="BE21" i="27"/>
  <c r="BE22" i="27"/>
  <c r="BE24" i="27"/>
  <c r="BE25" i="27"/>
  <c r="BE26" i="27"/>
  <c r="BE27" i="27"/>
  <c r="BE31" i="27"/>
  <c r="BE30" i="27"/>
  <c r="BE34" i="27"/>
  <c r="C30" i="32"/>
  <c r="BM51" i="27" s="1"/>
  <c r="BE32" i="27"/>
  <c r="BE35" i="27"/>
  <c r="BE36" i="27"/>
  <c r="BE37" i="27"/>
  <c r="BE38" i="27"/>
  <c r="BE39" i="27"/>
  <c r="C29" i="32"/>
  <c r="BF12" i="27"/>
  <c r="BF14" i="27"/>
  <c r="BF15" i="27"/>
  <c r="BF16" i="27"/>
  <c r="BF17" i="27"/>
  <c r="BF18" i="27"/>
  <c r="BF19" i="27"/>
  <c r="BF20" i="27"/>
  <c r="BF21" i="27"/>
  <c r="BF22" i="27"/>
  <c r="BF24" i="27"/>
  <c r="BF25" i="27"/>
  <c r="BF26" i="27"/>
  <c r="BF27" i="27"/>
  <c r="BF31" i="27"/>
  <c r="BF30" i="27"/>
  <c r="BF34" i="27"/>
  <c r="D30" i="32"/>
  <c r="BN51" i="27" s="1"/>
  <c r="BF32" i="27"/>
  <c r="BF35" i="27"/>
  <c r="BF36" i="27"/>
  <c r="BF37" i="27"/>
  <c r="BF38" i="27"/>
  <c r="BF39" i="27"/>
  <c r="D29" i="32"/>
  <c r="BG12" i="27"/>
  <c r="BG14" i="27"/>
  <c r="BG15" i="27"/>
  <c r="BG16" i="27"/>
  <c r="BG17" i="27"/>
  <c r="BG18" i="27"/>
  <c r="BG19" i="27"/>
  <c r="BG20" i="27"/>
  <c r="BG21" i="27"/>
  <c r="BG22" i="27"/>
  <c r="BG24" i="27"/>
  <c r="BG25" i="27"/>
  <c r="BG26" i="27"/>
  <c r="BG27" i="27"/>
  <c r="BG31" i="27"/>
  <c r="BG30" i="27"/>
  <c r="BG34" i="27"/>
  <c r="E30" i="32"/>
  <c r="BG32" i="27"/>
  <c r="BG35" i="27"/>
  <c r="BG36" i="27"/>
  <c r="BG37" i="27"/>
  <c r="BG38" i="27"/>
  <c r="BG39" i="27"/>
  <c r="E29" i="32"/>
  <c r="D8" i="33"/>
  <c r="G17" i="33" s="1"/>
  <c r="D7" i="33"/>
  <c r="Y12" i="27"/>
  <c r="Z12" i="27"/>
  <c r="AA12" i="27"/>
  <c r="AO12" i="27"/>
  <c r="AP12" i="27"/>
  <c r="AQ12" i="27"/>
  <c r="AZ12" i="27"/>
  <c r="BA12" i="27"/>
  <c r="BB12" i="27"/>
  <c r="BC12" i="27"/>
  <c r="C8" i="33"/>
  <c r="D15" i="33" s="1"/>
  <c r="C7" i="33"/>
  <c r="AN14" i="27"/>
  <c r="AO14" i="27"/>
  <c r="AP14" i="27"/>
  <c r="AQ14" i="27"/>
  <c r="AZ14" i="27"/>
  <c r="BA14" i="27"/>
  <c r="BB14" i="27"/>
  <c r="BC14" i="27"/>
  <c r="AN15" i="27"/>
  <c r="AO15" i="27"/>
  <c r="AP15" i="27"/>
  <c r="AQ15" i="27"/>
  <c r="AZ15" i="27"/>
  <c r="BA15" i="27"/>
  <c r="BB15" i="27"/>
  <c r="BC15" i="27"/>
  <c r="Y16" i="27"/>
  <c r="Z16" i="27"/>
  <c r="AA16" i="27"/>
  <c r="AN16" i="27"/>
  <c r="AO16" i="27"/>
  <c r="AP16" i="27"/>
  <c r="AQ16" i="27"/>
  <c r="AZ16" i="27"/>
  <c r="BA16" i="27"/>
  <c r="BB16" i="27"/>
  <c r="BC16" i="27"/>
  <c r="Y17" i="27"/>
  <c r="Z17" i="27"/>
  <c r="AA17" i="27"/>
  <c r="AN17" i="27"/>
  <c r="AO17" i="27"/>
  <c r="AP17" i="27"/>
  <c r="AQ17" i="27"/>
  <c r="AZ17" i="27"/>
  <c r="BA17" i="27"/>
  <c r="BB17" i="27"/>
  <c r="BC17" i="27"/>
  <c r="AN18" i="27"/>
  <c r="AO18" i="27"/>
  <c r="AP18" i="27"/>
  <c r="AQ18" i="27"/>
  <c r="AZ18" i="27"/>
  <c r="BA18" i="27"/>
  <c r="BB18" i="27"/>
  <c r="BC18" i="27"/>
  <c r="AN19" i="27"/>
  <c r="AO19" i="27"/>
  <c r="AP19" i="27"/>
  <c r="AQ19" i="27"/>
  <c r="AZ19" i="27"/>
  <c r="BA19" i="27"/>
  <c r="BB19" i="27"/>
  <c r="BC19" i="27"/>
  <c r="AN20" i="27"/>
  <c r="AO20" i="27"/>
  <c r="AP20" i="27"/>
  <c r="AQ20" i="27"/>
  <c r="AZ20" i="27"/>
  <c r="BA20" i="27"/>
  <c r="BB20" i="27"/>
  <c r="BC20" i="27"/>
  <c r="AN21" i="27"/>
  <c r="AO21" i="27"/>
  <c r="AP21" i="27"/>
  <c r="AQ21" i="27"/>
  <c r="AZ21" i="27"/>
  <c r="BA21" i="27"/>
  <c r="BB21" i="27"/>
  <c r="BC21" i="27"/>
  <c r="AN22" i="27"/>
  <c r="AO22" i="27"/>
  <c r="AP22" i="27"/>
  <c r="AQ22" i="27"/>
  <c r="AV22" i="27"/>
  <c r="AW22" i="27"/>
  <c r="AX22" i="27"/>
  <c r="AY22" i="27"/>
  <c r="AZ22" i="27"/>
  <c r="BA22" i="27"/>
  <c r="BB22" i="27"/>
  <c r="BC22" i="27"/>
  <c r="AN24" i="27"/>
  <c r="AO24" i="27"/>
  <c r="AP24" i="27"/>
  <c r="AQ24" i="27"/>
  <c r="AZ24" i="27"/>
  <c r="BA24" i="27"/>
  <c r="BB24" i="27"/>
  <c r="BC24" i="27"/>
  <c r="AN25" i="27"/>
  <c r="AO25" i="27"/>
  <c r="AP25" i="27"/>
  <c r="AQ25" i="27"/>
  <c r="AZ25" i="27"/>
  <c r="BA25" i="27"/>
  <c r="BB25" i="27"/>
  <c r="BC25" i="27"/>
  <c r="AN26" i="27"/>
  <c r="AO26" i="27"/>
  <c r="AP26" i="27"/>
  <c r="AQ26" i="27"/>
  <c r="AZ26" i="27"/>
  <c r="BA26" i="27"/>
  <c r="BB26" i="27"/>
  <c r="BC26" i="27"/>
  <c r="AN27" i="27"/>
  <c r="AO27" i="27"/>
  <c r="AP27" i="27"/>
  <c r="AQ27" i="27"/>
  <c r="AZ27" i="27"/>
  <c r="BA27" i="27"/>
  <c r="BB27" i="27"/>
  <c r="BC27" i="27"/>
  <c r="AZ31" i="27"/>
  <c r="BA31" i="27"/>
  <c r="BB31" i="27"/>
  <c r="BC31" i="27"/>
  <c r="G24" i="33"/>
  <c r="AZ30" i="27"/>
  <c r="BA30" i="27"/>
  <c r="BB30" i="27"/>
  <c r="BC30" i="27"/>
  <c r="E24" i="33"/>
  <c r="AN32" i="27"/>
  <c r="AO32" i="27"/>
  <c r="AP32" i="27"/>
  <c r="AQ32" i="27"/>
  <c r="AZ32" i="27"/>
  <c r="BA32" i="27"/>
  <c r="BB32" i="27"/>
  <c r="BC32" i="27"/>
  <c r="D34" i="27"/>
  <c r="E34" i="27"/>
  <c r="J34" i="27"/>
  <c r="O34" i="27"/>
  <c r="AB34" i="27"/>
  <c r="AC34" i="27"/>
  <c r="AD34" i="27"/>
  <c r="AE34" i="27"/>
  <c r="AF34" i="27"/>
  <c r="AG34" i="27"/>
  <c r="AH34" i="27"/>
  <c r="AI34" i="27"/>
  <c r="AJ34" i="27"/>
  <c r="AK34" i="27"/>
  <c r="AL34" i="27"/>
  <c r="AM34" i="27"/>
  <c r="AN34" i="27"/>
  <c r="AO34" i="27"/>
  <c r="AP34" i="27"/>
  <c r="AQ34" i="27"/>
  <c r="AV34" i="27"/>
  <c r="AW34" i="27"/>
  <c r="AX34" i="27"/>
  <c r="AY34" i="27"/>
  <c r="AZ34" i="27"/>
  <c r="BA34" i="27"/>
  <c r="BB34" i="27"/>
  <c r="BC34" i="27"/>
  <c r="AN35" i="27"/>
  <c r="AO35" i="27"/>
  <c r="AP35" i="27"/>
  <c r="AQ35" i="27"/>
  <c r="AZ35" i="27"/>
  <c r="BA35" i="27"/>
  <c r="BB35" i="27"/>
  <c r="BC35" i="27"/>
  <c r="AZ36" i="27"/>
  <c r="BA36" i="27"/>
  <c r="BB36" i="27"/>
  <c r="BC36" i="27"/>
  <c r="AZ37" i="27"/>
  <c r="BA37" i="27"/>
  <c r="BB37" i="27"/>
  <c r="BC37" i="27"/>
  <c r="AZ38" i="27"/>
  <c r="BA38" i="27"/>
  <c r="BB38" i="27"/>
  <c r="BC38" i="27"/>
  <c r="AZ39" i="27"/>
  <c r="BA39" i="27"/>
  <c r="BB39" i="27"/>
  <c r="BC39" i="27"/>
  <c r="AB41" i="27"/>
  <c r="AC41" i="27"/>
  <c r="AD41" i="27"/>
  <c r="AE41" i="27"/>
  <c r="AB42" i="27"/>
  <c r="AC42" i="27"/>
  <c r="AD42" i="27"/>
  <c r="AE42" i="27"/>
  <c r="AB43" i="27"/>
  <c r="AC43" i="27"/>
  <c r="AD43" i="27"/>
  <c r="AE43" i="27"/>
  <c r="AV45" i="27"/>
  <c r="AW45" i="27"/>
  <c r="AX45" i="27"/>
  <c r="AY45" i="27"/>
  <c r="AV47" i="27"/>
  <c r="AW47" i="27"/>
  <c r="AX47" i="27"/>
  <c r="AY47" i="27"/>
  <c r="AV51" i="27"/>
  <c r="AW51" i="27"/>
  <c r="AX51" i="27"/>
  <c r="AY51" i="27"/>
  <c r="AV52" i="27"/>
  <c r="AW52" i="27"/>
  <c r="AX52" i="27"/>
  <c r="AY52" i="27"/>
  <c r="AN53" i="27"/>
  <c r="AO53" i="27"/>
  <c r="AP53" i="27"/>
  <c r="AQ53" i="27"/>
  <c r="AV53" i="27"/>
  <c r="AW53" i="27"/>
  <c r="AX53" i="27"/>
  <c r="AY53" i="27"/>
  <c r="I1" i="18"/>
  <c r="M1" i="18"/>
  <c r="B6" i="18"/>
  <c r="B7" i="18"/>
  <c r="B8" i="18"/>
  <c r="B9" i="18"/>
  <c r="D11" i="18"/>
  <c r="B15" i="18"/>
  <c r="B16" i="18"/>
  <c r="B17" i="18"/>
  <c r="B18" i="18"/>
  <c r="B19" i="18"/>
  <c r="B20" i="18"/>
  <c r="B21" i="18"/>
  <c r="Q65" i="18"/>
  <c r="C133" i="18"/>
  <c r="B31" i="31"/>
  <c r="I1" i="15"/>
  <c r="M1" i="15"/>
  <c r="B6" i="15"/>
  <c r="B7" i="15"/>
  <c r="B8" i="15"/>
  <c r="B9" i="15"/>
  <c r="D11" i="15"/>
  <c r="B15" i="15"/>
  <c r="B16" i="15"/>
  <c r="B17" i="15"/>
  <c r="B18" i="15"/>
  <c r="B19" i="15"/>
  <c r="B20" i="15"/>
  <c r="B21" i="15"/>
  <c r="Q65" i="15"/>
  <c r="B121" i="15"/>
  <c r="C133" i="15"/>
  <c r="D18" i="33"/>
  <c r="I1" i="17"/>
  <c r="M1" i="17"/>
  <c r="B6" i="17"/>
  <c r="B7" i="17"/>
  <c r="B8" i="17"/>
  <c r="B9" i="17"/>
  <c r="D11" i="17"/>
  <c r="B15" i="17"/>
  <c r="B16" i="17"/>
  <c r="B17" i="17"/>
  <c r="B18" i="17"/>
  <c r="B19" i="17"/>
  <c r="B20" i="17"/>
  <c r="B21" i="17"/>
  <c r="B31" i="17"/>
  <c r="B34" i="17"/>
  <c r="Q65" i="17"/>
  <c r="C133" i="17"/>
  <c r="I1" i="16"/>
  <c r="M1" i="16"/>
  <c r="B6" i="16"/>
  <c r="B7" i="16"/>
  <c r="B8" i="16"/>
  <c r="B9" i="16"/>
  <c r="D11" i="16"/>
  <c r="B15" i="16"/>
  <c r="B16" i="16"/>
  <c r="B17" i="16"/>
  <c r="B18" i="16"/>
  <c r="B19" i="16"/>
  <c r="B20" i="16"/>
  <c r="B21" i="16"/>
  <c r="Q65" i="16"/>
  <c r="B121" i="16"/>
  <c r="C133" i="16"/>
  <c r="I1" i="7"/>
  <c r="M1" i="7"/>
  <c r="B6" i="7"/>
  <c r="B7" i="7"/>
  <c r="B8" i="7"/>
  <c r="B9" i="7"/>
  <c r="D11" i="7"/>
  <c r="B15" i="7"/>
  <c r="B16" i="7"/>
  <c r="B17" i="7"/>
  <c r="B18" i="7"/>
  <c r="B19" i="7"/>
  <c r="B20" i="7"/>
  <c r="B21" i="7"/>
  <c r="Q65" i="7"/>
  <c r="C133" i="7"/>
  <c r="I1" i="8"/>
  <c r="M1" i="8"/>
  <c r="B6" i="8"/>
  <c r="B7" i="8"/>
  <c r="B8" i="8"/>
  <c r="B9" i="8"/>
  <c r="D11" i="8"/>
  <c r="B15" i="8"/>
  <c r="B16" i="8"/>
  <c r="B17" i="8"/>
  <c r="B18" i="8"/>
  <c r="B19" i="8"/>
  <c r="B20" i="8"/>
  <c r="B21" i="8"/>
  <c r="Q65" i="8"/>
  <c r="C133" i="8"/>
  <c r="I1" i="9"/>
  <c r="M1" i="9"/>
  <c r="B6" i="9"/>
  <c r="B7" i="9"/>
  <c r="B8" i="9"/>
  <c r="B9" i="9"/>
  <c r="D11" i="9"/>
  <c r="B15" i="9"/>
  <c r="B16" i="9"/>
  <c r="B17" i="9"/>
  <c r="B18" i="9"/>
  <c r="B19" i="9"/>
  <c r="B20" i="9"/>
  <c r="B21" i="9"/>
  <c r="Q65" i="9"/>
  <c r="C133" i="9"/>
  <c r="I1" i="10"/>
  <c r="M1" i="10"/>
  <c r="B6" i="10"/>
  <c r="B7" i="10"/>
  <c r="B8" i="10"/>
  <c r="B9" i="10"/>
  <c r="D11" i="10"/>
  <c r="B15" i="10"/>
  <c r="B16" i="10"/>
  <c r="B17" i="10"/>
  <c r="B18" i="10"/>
  <c r="B19" i="10"/>
  <c r="B20" i="10"/>
  <c r="B21" i="10"/>
  <c r="Q65" i="10"/>
  <c r="C133" i="10"/>
  <c r="I1" i="11"/>
  <c r="M1" i="11"/>
  <c r="B6" i="11"/>
  <c r="B7" i="11"/>
  <c r="B8" i="11"/>
  <c r="B9" i="11"/>
  <c r="D11" i="11"/>
  <c r="B15" i="11"/>
  <c r="B16" i="11"/>
  <c r="B17" i="11"/>
  <c r="B18" i="11"/>
  <c r="B19" i="11"/>
  <c r="B20" i="11"/>
  <c r="B21" i="11"/>
  <c r="Q65" i="11"/>
  <c r="B121" i="11"/>
  <c r="C133" i="11"/>
  <c r="I1" i="13"/>
  <c r="M1" i="13"/>
  <c r="B6" i="13"/>
  <c r="B7" i="13"/>
  <c r="B8" i="13"/>
  <c r="B9" i="13"/>
  <c r="D11" i="13"/>
  <c r="B15" i="13"/>
  <c r="B16" i="13"/>
  <c r="B17" i="13"/>
  <c r="B18" i="13"/>
  <c r="B19" i="13"/>
  <c r="B20" i="13"/>
  <c r="B21" i="13"/>
  <c r="B31" i="13"/>
  <c r="Q65" i="13"/>
  <c r="B121" i="13"/>
  <c r="C133" i="13"/>
  <c r="I1" i="21"/>
  <c r="M1" i="21"/>
  <c r="B6" i="21"/>
  <c r="B7" i="21"/>
  <c r="B8" i="21"/>
  <c r="B9" i="21"/>
  <c r="D11" i="21"/>
  <c r="B15" i="21"/>
  <c r="B16" i="21"/>
  <c r="B17" i="21"/>
  <c r="B18" i="21"/>
  <c r="B19" i="21"/>
  <c r="B20" i="21"/>
  <c r="B21" i="21"/>
  <c r="Q65" i="21"/>
  <c r="C133" i="21"/>
  <c r="I1" i="22"/>
  <c r="M1" i="22"/>
  <c r="B6" i="22"/>
  <c r="B7" i="22"/>
  <c r="B8" i="22"/>
  <c r="B9" i="22"/>
  <c r="D11" i="22"/>
  <c r="B15" i="22"/>
  <c r="B16" i="22"/>
  <c r="B17" i="22"/>
  <c r="B18" i="22"/>
  <c r="B19" i="22"/>
  <c r="B20" i="22"/>
  <c r="B21" i="22"/>
  <c r="Q65" i="22"/>
  <c r="C133" i="22"/>
  <c r="I1" i="23"/>
  <c r="M1" i="23"/>
  <c r="B6" i="23"/>
  <c r="B7" i="23"/>
  <c r="B8" i="23"/>
  <c r="B9" i="23"/>
  <c r="D11" i="23"/>
  <c r="B15" i="23"/>
  <c r="B16" i="23"/>
  <c r="B17" i="23"/>
  <c r="B18" i="23"/>
  <c r="B19" i="23"/>
  <c r="B20" i="23"/>
  <c r="B21" i="23"/>
  <c r="Q65" i="23"/>
  <c r="C133" i="23"/>
  <c r="K25" i="34"/>
  <c r="I1" i="24"/>
  <c r="M1" i="24"/>
  <c r="B6" i="24"/>
  <c r="B7" i="24"/>
  <c r="B8" i="24"/>
  <c r="B9" i="24"/>
  <c r="D11" i="24"/>
  <c r="B15" i="24"/>
  <c r="B16" i="24"/>
  <c r="B17" i="24"/>
  <c r="B18" i="24"/>
  <c r="B19" i="24"/>
  <c r="B20" i="24"/>
  <c r="B21" i="24"/>
  <c r="Q65" i="24"/>
  <c r="C133" i="24"/>
  <c r="B35" i="32"/>
  <c r="C35" i="32"/>
  <c r="D35" i="32"/>
  <c r="E35" i="32"/>
  <c r="B36" i="32"/>
  <c r="C36" i="32"/>
  <c r="D36" i="32"/>
  <c r="E36" i="32"/>
  <c r="B37" i="32"/>
  <c r="C37" i="32"/>
  <c r="D37" i="32"/>
  <c r="E37" i="32"/>
  <c r="I1" i="25"/>
  <c r="M1" i="25"/>
  <c r="B6" i="25"/>
  <c r="B7" i="25"/>
  <c r="B8" i="25"/>
  <c r="B9" i="25"/>
  <c r="D11" i="25"/>
  <c r="B15" i="25"/>
  <c r="B16" i="25"/>
  <c r="B17" i="25"/>
  <c r="B18" i="25"/>
  <c r="B19" i="25"/>
  <c r="B20" i="25"/>
  <c r="B21" i="25"/>
  <c r="Q65" i="25"/>
  <c r="C133" i="25"/>
  <c r="I1" i="26"/>
  <c r="M1" i="26"/>
  <c r="B6" i="26"/>
  <c r="B7" i="26"/>
  <c r="B8" i="26"/>
  <c r="B9" i="26"/>
  <c r="D11" i="26"/>
  <c r="B15" i="26"/>
  <c r="B16" i="26"/>
  <c r="B17" i="26"/>
  <c r="B18" i="26"/>
  <c r="B19" i="26"/>
  <c r="B20" i="26"/>
  <c r="B21" i="26"/>
  <c r="Q65" i="26"/>
  <c r="C133" i="26"/>
  <c r="E60" i="14"/>
  <c r="G19" i="33"/>
  <c r="H15" i="33"/>
  <c r="B121" i="8" l="1"/>
  <c r="C117" i="8"/>
  <c r="H8" i="30"/>
  <c r="I8" i="30" s="1"/>
  <c r="F5" i="49"/>
  <c r="B5" i="53" s="1"/>
  <c r="D17" i="33"/>
  <c r="D20" i="33"/>
  <c r="D23" i="33"/>
  <c r="D21" i="33"/>
  <c r="G42" i="25"/>
  <c r="F42" i="25"/>
  <c r="H42" i="25"/>
  <c r="G42" i="21"/>
  <c r="F42" i="21"/>
  <c r="H42" i="21"/>
  <c r="G42" i="9"/>
  <c r="F42" i="9"/>
  <c r="H42" i="9"/>
  <c r="G42" i="17"/>
  <c r="F42" i="17"/>
  <c r="H42" i="17"/>
  <c r="G42" i="20"/>
  <c r="F42" i="20"/>
  <c r="H42" i="20"/>
  <c r="F41" i="24"/>
  <c r="G41" i="24"/>
  <c r="H41" i="24"/>
  <c r="F41" i="13"/>
  <c r="G41" i="13"/>
  <c r="H41" i="13"/>
  <c r="F41" i="8"/>
  <c r="G41" i="8"/>
  <c r="H41" i="8"/>
  <c r="F41" i="15"/>
  <c r="G41" i="15"/>
  <c r="H41" i="15"/>
  <c r="F41" i="14"/>
  <c r="G41" i="14"/>
  <c r="H41" i="14"/>
  <c r="G40" i="23"/>
  <c r="H40" i="23"/>
  <c r="F40" i="23"/>
  <c r="G40" i="11"/>
  <c r="H40" i="11"/>
  <c r="F40" i="11"/>
  <c r="G40" i="7"/>
  <c r="F40" i="7"/>
  <c r="H40" i="7"/>
  <c r="G40" i="18"/>
  <c r="F40" i="18"/>
  <c r="H40" i="18"/>
  <c r="G39" i="26"/>
  <c r="H39" i="26"/>
  <c r="F39" i="26"/>
  <c r="G39" i="22"/>
  <c r="H39" i="22"/>
  <c r="F39" i="22"/>
  <c r="G39" i="10"/>
  <c r="H39" i="10"/>
  <c r="F39" i="10"/>
  <c r="G39" i="16"/>
  <c r="H39" i="16"/>
  <c r="F39" i="16"/>
  <c r="G39" i="19"/>
  <c r="H39" i="19"/>
  <c r="F39" i="19"/>
  <c r="G38" i="25"/>
  <c r="F38" i="25"/>
  <c r="H38" i="25"/>
  <c r="G38" i="21"/>
  <c r="F38" i="21"/>
  <c r="H38" i="21"/>
  <c r="G38" i="9"/>
  <c r="F38" i="9"/>
  <c r="H38" i="9"/>
  <c r="E38" i="17"/>
  <c r="D38" i="17" s="1"/>
  <c r="G38" i="17"/>
  <c r="F38" i="17"/>
  <c r="H38" i="17"/>
  <c r="G38" i="20"/>
  <c r="F38" i="20"/>
  <c r="H38" i="20"/>
  <c r="F23" i="49"/>
  <c r="B23" i="53" s="1"/>
  <c r="F23" i="53" s="1"/>
  <c r="F37" i="24"/>
  <c r="G37" i="24"/>
  <c r="H37" i="24"/>
  <c r="F19" i="49"/>
  <c r="B19" i="53" s="1"/>
  <c r="F19" i="53" s="1"/>
  <c r="F37" i="13"/>
  <c r="G37" i="13"/>
  <c r="H37" i="13"/>
  <c r="F15" i="49"/>
  <c r="B15" i="53" s="1"/>
  <c r="F37" i="8"/>
  <c r="G37" i="8"/>
  <c r="H37" i="8"/>
  <c r="F11" i="49"/>
  <c r="B11" i="53" s="1"/>
  <c r="F11" i="53" s="1"/>
  <c r="F37" i="15"/>
  <c r="G37" i="15"/>
  <c r="H37" i="15"/>
  <c r="F7" i="49"/>
  <c r="B7" i="53" s="1"/>
  <c r="F7" i="53" s="1"/>
  <c r="F37" i="14"/>
  <c r="G37" i="14"/>
  <c r="H37" i="14"/>
  <c r="H22" i="49"/>
  <c r="G35" i="23"/>
  <c r="H35" i="23"/>
  <c r="F35" i="23"/>
  <c r="H18" i="49"/>
  <c r="G35" i="11"/>
  <c r="F35" i="11"/>
  <c r="H35" i="11"/>
  <c r="H14" i="49"/>
  <c r="H35" i="7"/>
  <c r="G35" i="7"/>
  <c r="F35" i="7"/>
  <c r="H10" i="49"/>
  <c r="G35" i="18"/>
  <c r="F35" i="18"/>
  <c r="H35" i="18"/>
  <c r="M97" i="49"/>
  <c r="M93" i="49"/>
  <c r="M89" i="49"/>
  <c r="M85" i="49"/>
  <c r="M81" i="49"/>
  <c r="BM45" i="27"/>
  <c r="L45" i="27" s="1"/>
  <c r="BM49" i="27"/>
  <c r="L49" i="27" s="1"/>
  <c r="BN47" i="27"/>
  <c r="BN43" i="27"/>
  <c r="G42" i="5"/>
  <c r="H42" i="5"/>
  <c r="F42" i="5"/>
  <c r="C22" i="50"/>
  <c r="C69" i="49"/>
  <c r="D69" i="49" s="1"/>
  <c r="E69" i="49" s="1"/>
  <c r="F69" i="49" s="1"/>
  <c r="C18" i="50"/>
  <c r="C65" i="49"/>
  <c r="D65" i="49" s="1"/>
  <c r="E65" i="49" s="1"/>
  <c r="F65" i="49" s="1"/>
  <c r="C14" i="50"/>
  <c r="C61" i="49"/>
  <c r="D61" i="49" s="1"/>
  <c r="E61" i="49" s="1"/>
  <c r="F61" i="49" s="1"/>
  <c r="C10" i="50"/>
  <c r="C57" i="49"/>
  <c r="D57" i="49" s="1"/>
  <c r="E57" i="49" s="1"/>
  <c r="F57" i="49" s="1"/>
  <c r="C6" i="50"/>
  <c r="C53" i="49"/>
  <c r="D53" i="49" s="1"/>
  <c r="E53" i="49" s="1"/>
  <c r="F53" i="49" s="1"/>
  <c r="F39" i="5"/>
  <c r="G39" i="5"/>
  <c r="H39" i="5"/>
  <c r="G23" i="33"/>
  <c r="B121" i="21"/>
  <c r="B121" i="9"/>
  <c r="D16" i="33"/>
  <c r="D25" i="33"/>
  <c r="D22" i="33"/>
  <c r="D14" i="33"/>
  <c r="F117" i="14"/>
  <c r="H42" i="24"/>
  <c r="F42" i="24"/>
  <c r="G42" i="24"/>
  <c r="H42" i="13"/>
  <c r="F42" i="13"/>
  <c r="G42" i="13"/>
  <c r="H42" i="8"/>
  <c r="G42" i="8"/>
  <c r="F42" i="8"/>
  <c r="H42" i="15"/>
  <c r="G42" i="15"/>
  <c r="F42" i="15"/>
  <c r="H42" i="14"/>
  <c r="G42" i="14"/>
  <c r="F42" i="14"/>
  <c r="H41" i="23"/>
  <c r="F41" i="23"/>
  <c r="G41" i="23"/>
  <c r="H41" i="11"/>
  <c r="F41" i="11"/>
  <c r="G41" i="11"/>
  <c r="H41" i="7"/>
  <c r="G41" i="7"/>
  <c r="F41" i="7"/>
  <c r="H41" i="18"/>
  <c r="G41" i="18"/>
  <c r="F41" i="18"/>
  <c r="H40" i="26"/>
  <c r="F40" i="26"/>
  <c r="G40" i="26"/>
  <c r="H40" i="22"/>
  <c r="F40" i="22"/>
  <c r="G40" i="22"/>
  <c r="H40" i="10"/>
  <c r="F40" i="10"/>
  <c r="G40" i="10"/>
  <c r="H40" i="16"/>
  <c r="F40" i="16"/>
  <c r="G40" i="16"/>
  <c r="H40" i="19"/>
  <c r="F40" i="19"/>
  <c r="G40" i="19"/>
  <c r="H39" i="25"/>
  <c r="F39" i="25"/>
  <c r="G39" i="25"/>
  <c r="H39" i="21"/>
  <c r="F39" i="21"/>
  <c r="G39" i="21"/>
  <c r="H39" i="9"/>
  <c r="F39" i="9"/>
  <c r="G39" i="9"/>
  <c r="H39" i="17"/>
  <c r="F39" i="17"/>
  <c r="G39" i="17"/>
  <c r="H39" i="20"/>
  <c r="F39" i="20"/>
  <c r="G39" i="20"/>
  <c r="H38" i="24"/>
  <c r="G38" i="24"/>
  <c r="F38" i="24"/>
  <c r="E38" i="13"/>
  <c r="D38" i="13" s="1"/>
  <c r="H38" i="13"/>
  <c r="F38" i="13"/>
  <c r="G38" i="13"/>
  <c r="E38" i="8"/>
  <c r="D38" i="8" s="1"/>
  <c r="H38" i="8"/>
  <c r="G38" i="8"/>
  <c r="F38" i="8"/>
  <c r="H38" i="15"/>
  <c r="G38" i="15"/>
  <c r="F38" i="15"/>
  <c r="H38" i="14"/>
  <c r="G38" i="14"/>
  <c r="F38" i="14"/>
  <c r="F22" i="49"/>
  <c r="B22" i="53" s="1"/>
  <c r="F22" i="53" s="1"/>
  <c r="H37" i="23"/>
  <c r="F37" i="23"/>
  <c r="G37" i="23"/>
  <c r="F18" i="49"/>
  <c r="B18" i="53" s="1"/>
  <c r="F18" i="53" s="1"/>
  <c r="H37" i="11"/>
  <c r="F37" i="11"/>
  <c r="G37" i="11"/>
  <c r="F14" i="49"/>
  <c r="B14" i="53" s="1"/>
  <c r="F14" i="53" s="1"/>
  <c r="H37" i="7"/>
  <c r="F37" i="7"/>
  <c r="G37" i="7"/>
  <c r="F10" i="49"/>
  <c r="B10" i="53" s="1"/>
  <c r="F10" i="53" s="1"/>
  <c r="H37" i="18"/>
  <c r="F37" i="18"/>
  <c r="G37" i="18"/>
  <c r="H25" i="49"/>
  <c r="G35" i="26"/>
  <c r="H35" i="26"/>
  <c r="F35" i="26"/>
  <c r="H21" i="49"/>
  <c r="G35" i="22"/>
  <c r="H35" i="22"/>
  <c r="F35" i="22"/>
  <c r="H17" i="49"/>
  <c r="G35" i="10"/>
  <c r="H35" i="10"/>
  <c r="F35" i="10"/>
  <c r="H13" i="49"/>
  <c r="H35" i="16"/>
  <c r="F35" i="16"/>
  <c r="G35" i="16"/>
  <c r="H9" i="49"/>
  <c r="H35" i="19"/>
  <c r="G35" i="19"/>
  <c r="F35" i="19"/>
  <c r="M96" i="49"/>
  <c r="M92" i="49"/>
  <c r="M88" i="49"/>
  <c r="M84" i="49"/>
  <c r="M80" i="49"/>
  <c r="K99" i="49"/>
  <c r="BO55" i="27"/>
  <c r="N55" i="27" s="1"/>
  <c r="G38" i="5"/>
  <c r="F38" i="5"/>
  <c r="H38" i="5"/>
  <c r="H5" i="49"/>
  <c r="E5" i="53" s="1"/>
  <c r="G35" i="5"/>
  <c r="F35" i="5"/>
  <c r="H35" i="5"/>
  <c r="C25" i="50"/>
  <c r="C72" i="49"/>
  <c r="D72" i="49" s="1"/>
  <c r="E72" i="49" s="1"/>
  <c r="F72" i="49" s="1"/>
  <c r="C21" i="50"/>
  <c r="C68" i="49"/>
  <c r="D68" i="49" s="1"/>
  <c r="E68" i="49" s="1"/>
  <c r="F68" i="49" s="1"/>
  <c r="C17" i="50"/>
  <c r="C64" i="49"/>
  <c r="D64" i="49" s="1"/>
  <c r="E64" i="49" s="1"/>
  <c r="F64" i="49" s="1"/>
  <c r="C13" i="50"/>
  <c r="C60" i="49"/>
  <c r="D60" i="49" s="1"/>
  <c r="E60" i="49" s="1"/>
  <c r="F60" i="49" s="1"/>
  <c r="C9" i="50"/>
  <c r="C56" i="49"/>
  <c r="D56" i="49" s="1"/>
  <c r="E56" i="49" s="1"/>
  <c r="F56" i="49" s="1"/>
  <c r="C5" i="50"/>
  <c r="C52" i="49"/>
  <c r="M78" i="49"/>
  <c r="B121" i="14"/>
  <c r="E42" i="23"/>
  <c r="D42" i="23" s="1"/>
  <c r="G42" i="23"/>
  <c r="F42" i="23"/>
  <c r="H42" i="23"/>
  <c r="G42" i="11"/>
  <c r="F42" i="11"/>
  <c r="H42" i="11"/>
  <c r="G42" i="7"/>
  <c r="F42" i="7"/>
  <c r="H42" i="7"/>
  <c r="G42" i="18"/>
  <c r="F42" i="18"/>
  <c r="H42" i="18"/>
  <c r="F41" i="26"/>
  <c r="G41" i="26"/>
  <c r="H41" i="26"/>
  <c r="F41" i="22"/>
  <c r="G41" i="22"/>
  <c r="H41" i="22"/>
  <c r="F41" i="10"/>
  <c r="G41" i="10"/>
  <c r="H41" i="10"/>
  <c r="F41" i="16"/>
  <c r="G41" i="16"/>
  <c r="H41" i="16"/>
  <c r="F41" i="19"/>
  <c r="G41" i="19"/>
  <c r="H41" i="19"/>
  <c r="G40" i="25"/>
  <c r="H40" i="25"/>
  <c r="F40" i="25"/>
  <c r="G40" i="21"/>
  <c r="H40" i="21"/>
  <c r="F40" i="21"/>
  <c r="G40" i="9"/>
  <c r="H40" i="9"/>
  <c r="F40" i="9"/>
  <c r="G40" i="17"/>
  <c r="H40" i="17"/>
  <c r="F40" i="17"/>
  <c r="G40" i="20"/>
  <c r="H40" i="20"/>
  <c r="F40" i="20"/>
  <c r="G39" i="24"/>
  <c r="H39" i="24"/>
  <c r="F39" i="24"/>
  <c r="G39" i="13"/>
  <c r="H39" i="13"/>
  <c r="F39" i="13"/>
  <c r="G39" i="8"/>
  <c r="H39" i="8"/>
  <c r="F39" i="8"/>
  <c r="G39" i="15"/>
  <c r="H39" i="15"/>
  <c r="F39" i="15"/>
  <c r="G39" i="14"/>
  <c r="F39" i="14"/>
  <c r="H39" i="14"/>
  <c r="G38" i="23"/>
  <c r="F38" i="23"/>
  <c r="H38" i="23"/>
  <c r="G38" i="11"/>
  <c r="F38" i="11"/>
  <c r="H38" i="11"/>
  <c r="G38" i="7"/>
  <c r="F38" i="7"/>
  <c r="H38" i="7"/>
  <c r="G38" i="18"/>
  <c r="F38" i="18"/>
  <c r="H38" i="18"/>
  <c r="F25" i="49"/>
  <c r="B25" i="53" s="1"/>
  <c r="F25" i="53" s="1"/>
  <c r="F37" i="26"/>
  <c r="G37" i="26"/>
  <c r="H37" i="26"/>
  <c r="F21" i="49"/>
  <c r="B21" i="53" s="1"/>
  <c r="F21" i="53" s="1"/>
  <c r="F37" i="22"/>
  <c r="G37" i="22"/>
  <c r="H37" i="22"/>
  <c r="F17" i="49"/>
  <c r="B17" i="53" s="1"/>
  <c r="F17" i="53" s="1"/>
  <c r="F37" i="10"/>
  <c r="G37" i="10"/>
  <c r="H37" i="10"/>
  <c r="F13" i="49"/>
  <c r="B13" i="53" s="1"/>
  <c r="F13" i="53" s="1"/>
  <c r="F37" i="16"/>
  <c r="G37" i="16"/>
  <c r="H37" i="16"/>
  <c r="F9" i="49"/>
  <c r="B9" i="53" s="1"/>
  <c r="F9" i="53" s="1"/>
  <c r="F37" i="19"/>
  <c r="G37" i="19"/>
  <c r="H37" i="19"/>
  <c r="H24" i="49"/>
  <c r="H35" i="25"/>
  <c r="F35" i="25"/>
  <c r="G35" i="25"/>
  <c r="H20" i="49"/>
  <c r="H35" i="21"/>
  <c r="F35" i="21"/>
  <c r="G35" i="21"/>
  <c r="H16" i="49"/>
  <c r="H35" i="9"/>
  <c r="F35" i="9"/>
  <c r="G35" i="9"/>
  <c r="H12" i="49"/>
  <c r="F35" i="17"/>
  <c r="G35" i="17"/>
  <c r="H35" i="17"/>
  <c r="H8" i="49"/>
  <c r="F35" i="20"/>
  <c r="G35" i="20"/>
  <c r="H35" i="20"/>
  <c r="M95" i="49"/>
  <c r="M91" i="49"/>
  <c r="M87" i="49"/>
  <c r="M83" i="49"/>
  <c r="BO52" i="27"/>
  <c r="N52" i="27" s="1"/>
  <c r="BM50" i="27"/>
  <c r="BM48" i="27"/>
  <c r="BO46" i="27"/>
  <c r="BM42" i="27"/>
  <c r="C24" i="50"/>
  <c r="C71" i="49"/>
  <c r="D71" i="49" s="1"/>
  <c r="E71" i="49" s="1"/>
  <c r="F71" i="49" s="1"/>
  <c r="C20" i="50"/>
  <c r="C67" i="49"/>
  <c r="D67" i="49" s="1"/>
  <c r="E67" i="49" s="1"/>
  <c r="F67" i="49" s="1"/>
  <c r="C16" i="50"/>
  <c r="C63" i="49"/>
  <c r="D63" i="49" s="1"/>
  <c r="E63" i="49" s="1"/>
  <c r="F63" i="49" s="1"/>
  <c r="C12" i="50"/>
  <c r="C59" i="49"/>
  <c r="D59" i="49" s="1"/>
  <c r="E59" i="49" s="1"/>
  <c r="F59" i="49" s="1"/>
  <c r="C8" i="50"/>
  <c r="C55" i="49"/>
  <c r="D55" i="49" s="1"/>
  <c r="E55" i="49" s="1"/>
  <c r="F55" i="49" s="1"/>
  <c r="G41" i="5"/>
  <c r="H41" i="5"/>
  <c r="F41" i="5"/>
  <c r="B121" i="7"/>
  <c r="D24" i="33"/>
  <c r="F24" i="33" s="1"/>
  <c r="D19" i="33"/>
  <c r="H42" i="26"/>
  <c r="F42" i="26"/>
  <c r="G42" i="26"/>
  <c r="H42" i="22"/>
  <c r="G42" i="22"/>
  <c r="F42" i="22"/>
  <c r="H42" i="10"/>
  <c r="F42" i="10"/>
  <c r="G42" i="10"/>
  <c r="H42" i="16"/>
  <c r="F42" i="16"/>
  <c r="G42" i="16"/>
  <c r="H42" i="19"/>
  <c r="F42" i="19"/>
  <c r="G42" i="19"/>
  <c r="H41" i="25"/>
  <c r="F41" i="25"/>
  <c r="G41" i="25"/>
  <c r="H41" i="21"/>
  <c r="F41" i="21"/>
  <c r="G41" i="21"/>
  <c r="H41" i="9"/>
  <c r="G41" i="9"/>
  <c r="F41" i="9"/>
  <c r="H41" i="17"/>
  <c r="G41" i="17"/>
  <c r="F41" i="17"/>
  <c r="H41" i="20"/>
  <c r="G41" i="20"/>
  <c r="F41" i="20"/>
  <c r="H40" i="24"/>
  <c r="F40" i="24"/>
  <c r="G40" i="24"/>
  <c r="H40" i="13"/>
  <c r="F40" i="13"/>
  <c r="G40" i="13"/>
  <c r="H40" i="8"/>
  <c r="F40" i="8"/>
  <c r="G40" i="8"/>
  <c r="H40" i="15"/>
  <c r="F40" i="15"/>
  <c r="G40" i="15"/>
  <c r="G40" i="14"/>
  <c r="F40" i="14"/>
  <c r="H40" i="14"/>
  <c r="H39" i="23"/>
  <c r="F39" i="23"/>
  <c r="G39" i="23"/>
  <c r="H39" i="11"/>
  <c r="F39" i="11"/>
  <c r="G39" i="11"/>
  <c r="H39" i="7"/>
  <c r="F39" i="7"/>
  <c r="G39" i="7"/>
  <c r="H39" i="18"/>
  <c r="F39" i="18"/>
  <c r="G39" i="18"/>
  <c r="H38" i="26"/>
  <c r="G38" i="26"/>
  <c r="F38" i="26"/>
  <c r="H38" i="22"/>
  <c r="F38" i="22"/>
  <c r="G38" i="22"/>
  <c r="H38" i="10"/>
  <c r="G38" i="10"/>
  <c r="F38" i="10"/>
  <c r="H38" i="16"/>
  <c r="G38" i="16"/>
  <c r="F38" i="16"/>
  <c r="H38" i="19"/>
  <c r="G38" i="19"/>
  <c r="F38" i="19"/>
  <c r="F24" i="49"/>
  <c r="B24" i="53" s="1"/>
  <c r="F24" i="53" s="1"/>
  <c r="H37" i="25"/>
  <c r="F37" i="25"/>
  <c r="G37" i="25"/>
  <c r="F20" i="49"/>
  <c r="B20" i="53" s="1"/>
  <c r="F20" i="53" s="1"/>
  <c r="H37" i="21"/>
  <c r="F37" i="21"/>
  <c r="G37" i="21"/>
  <c r="F16" i="49"/>
  <c r="B16" i="53" s="1"/>
  <c r="F16" i="53" s="1"/>
  <c r="H37" i="9"/>
  <c r="G37" i="9"/>
  <c r="F37" i="9"/>
  <c r="F12" i="49"/>
  <c r="B12" i="53" s="1"/>
  <c r="F12" i="53" s="1"/>
  <c r="H37" i="17"/>
  <c r="G37" i="17"/>
  <c r="F37" i="17"/>
  <c r="F8" i="49"/>
  <c r="B8" i="53" s="1"/>
  <c r="F8" i="53" s="1"/>
  <c r="H37" i="20"/>
  <c r="G37" i="20"/>
  <c r="F37" i="20"/>
  <c r="H23" i="49"/>
  <c r="F35" i="24"/>
  <c r="H35" i="24"/>
  <c r="G35" i="24"/>
  <c r="H19" i="49"/>
  <c r="F35" i="13"/>
  <c r="G35" i="13"/>
  <c r="H35" i="13"/>
  <c r="H15" i="49"/>
  <c r="E15" i="53" s="1"/>
  <c r="F35" i="8"/>
  <c r="H35" i="8"/>
  <c r="G35" i="8"/>
  <c r="H11" i="49"/>
  <c r="H35" i="15"/>
  <c r="F35" i="15"/>
  <c r="G35" i="15"/>
  <c r="H7" i="49"/>
  <c r="G35" i="14"/>
  <c r="H35" i="14"/>
  <c r="F35" i="14"/>
  <c r="E20" i="13"/>
  <c r="D20" i="13" s="1"/>
  <c r="E20" i="15"/>
  <c r="D20" i="15" s="1"/>
  <c r="M98" i="49"/>
  <c r="M94" i="49"/>
  <c r="M90" i="49"/>
  <c r="M86" i="49"/>
  <c r="M82" i="49"/>
  <c r="E8" i="12"/>
  <c r="F8" i="12" s="1"/>
  <c r="G37" i="5"/>
  <c r="H37" i="5"/>
  <c r="F37" i="5"/>
  <c r="C23" i="50"/>
  <c r="C70" i="49"/>
  <c r="D70" i="49" s="1"/>
  <c r="E70" i="49" s="1"/>
  <c r="F70" i="49" s="1"/>
  <c r="C19" i="50"/>
  <c r="C66" i="49"/>
  <c r="D66" i="49" s="1"/>
  <c r="E66" i="49" s="1"/>
  <c r="F66" i="49" s="1"/>
  <c r="C15" i="50"/>
  <c r="C62" i="49"/>
  <c r="D62" i="49" s="1"/>
  <c r="E62" i="49" s="1"/>
  <c r="F62" i="49" s="1"/>
  <c r="C11" i="50"/>
  <c r="C58" i="49"/>
  <c r="D58" i="49" s="1"/>
  <c r="E58" i="49" s="1"/>
  <c r="F58" i="49" s="1"/>
  <c r="C7" i="50"/>
  <c r="C54" i="49"/>
  <c r="D54" i="49" s="1"/>
  <c r="E54" i="49" s="1"/>
  <c r="F54" i="49" s="1"/>
  <c r="E27" i="20"/>
  <c r="D27" i="20" s="1"/>
  <c r="B121" i="18"/>
  <c r="E17" i="17"/>
  <c r="G17" i="17" s="1"/>
  <c r="H40" i="5"/>
  <c r="F40" i="5"/>
  <c r="G40" i="5"/>
  <c r="B121" i="5"/>
  <c r="H39" i="12"/>
  <c r="F39" i="12"/>
  <c r="G39" i="12"/>
  <c r="H38" i="12"/>
  <c r="F38" i="12"/>
  <c r="G38" i="12"/>
  <c r="F6" i="49"/>
  <c r="B6" i="53" s="1"/>
  <c r="G37" i="12"/>
  <c r="H37" i="12"/>
  <c r="F37" i="12"/>
  <c r="H6" i="49"/>
  <c r="H35" i="12"/>
  <c r="F35" i="12"/>
  <c r="G35" i="12"/>
  <c r="H42" i="12"/>
  <c r="F42" i="12"/>
  <c r="G42" i="12"/>
  <c r="B121" i="12"/>
  <c r="F41" i="12"/>
  <c r="G41" i="12"/>
  <c r="H41" i="12"/>
  <c r="M79" i="49"/>
  <c r="C117" i="12"/>
  <c r="D117" i="12" s="1"/>
  <c r="E117" i="12" s="1"/>
  <c r="G117" i="12" s="1"/>
  <c r="C58" i="12" s="1"/>
  <c r="G40" i="12"/>
  <c r="H40" i="12"/>
  <c r="F40" i="12"/>
  <c r="E15" i="26"/>
  <c r="D15" i="26" s="1"/>
  <c r="E15" i="10"/>
  <c r="F15" i="10" s="1"/>
  <c r="E22" i="24"/>
  <c r="F22" i="24" s="1"/>
  <c r="E15" i="11"/>
  <c r="H15" i="11" s="1"/>
  <c r="E22" i="9"/>
  <c r="D22" i="9" s="1"/>
  <c r="E15" i="12"/>
  <c r="F15" i="12" s="1"/>
  <c r="E15" i="18"/>
  <c r="G15" i="18" s="1"/>
  <c r="E22" i="20"/>
  <c r="D22" i="20" s="1"/>
  <c r="BL42" i="27"/>
  <c r="K42" i="27" s="1"/>
  <c r="C34" i="27"/>
  <c r="BM29" i="27"/>
  <c r="BM34" i="27" s="1"/>
  <c r="D27" i="21"/>
  <c r="C129" i="13"/>
  <c r="C26" i="13" s="1"/>
  <c r="F26" i="13" s="1"/>
  <c r="C130" i="10"/>
  <c r="C27" i="10" s="1"/>
  <c r="G27" i="10" s="1"/>
  <c r="C129" i="9"/>
  <c r="C26" i="9" s="1"/>
  <c r="F26" i="9" s="1"/>
  <c r="C130" i="17"/>
  <c r="C27" i="17" s="1"/>
  <c r="E27" i="17" s="1"/>
  <c r="D27" i="17" s="1"/>
  <c r="C129" i="15"/>
  <c r="C26" i="15" s="1"/>
  <c r="E26" i="15" s="1"/>
  <c r="D26" i="15" s="1"/>
  <c r="C130" i="26"/>
  <c r="C27" i="26" s="1"/>
  <c r="E27" i="26" s="1"/>
  <c r="D27" i="26" s="1"/>
  <c r="C130" i="19"/>
  <c r="C27" i="19" s="1"/>
  <c r="E27" i="19" s="1"/>
  <c r="D27" i="19" s="1"/>
  <c r="C130" i="12"/>
  <c r="C27" i="12" s="1"/>
  <c r="F27" i="12" s="1"/>
  <c r="C53" i="27"/>
  <c r="D60" i="23" s="1"/>
  <c r="C130" i="25"/>
  <c r="C27" i="25" s="1"/>
  <c r="E27" i="25" s="1"/>
  <c r="D27" i="25" s="1"/>
  <c r="E41" i="8"/>
  <c r="D41" i="8" s="1"/>
  <c r="E10" i="17"/>
  <c r="G10" i="17" s="1"/>
  <c r="E9" i="22"/>
  <c r="H9" i="22" s="1"/>
  <c r="E9" i="16"/>
  <c r="F9" i="16" s="1"/>
  <c r="E41" i="16"/>
  <c r="D41" i="16" s="1"/>
  <c r="E64" i="15"/>
  <c r="D64" i="15" s="1"/>
  <c r="F64" i="13"/>
  <c r="H64" i="13"/>
  <c r="G64" i="5"/>
  <c r="F64" i="5"/>
  <c r="G64" i="13"/>
  <c r="H64" i="5"/>
  <c r="H64" i="25"/>
  <c r="F64" i="21"/>
  <c r="H64" i="15"/>
  <c r="H64" i="23"/>
  <c r="H64" i="18"/>
  <c r="G64" i="25"/>
  <c r="F64" i="8"/>
  <c r="G64" i="15"/>
  <c r="G64" i="8"/>
  <c r="G64" i="23"/>
  <c r="F64" i="15"/>
  <c r="F64" i="25"/>
  <c r="H64" i="8"/>
  <c r="G64" i="18"/>
  <c r="F64" i="18"/>
  <c r="F64" i="7"/>
  <c r="F64" i="23"/>
  <c r="H64" i="7"/>
  <c r="H64" i="21"/>
  <c r="G64" i="7"/>
  <c r="G64" i="21"/>
  <c r="E37" i="25"/>
  <c r="D37" i="25" s="1"/>
  <c r="E41" i="10"/>
  <c r="D41" i="10" s="1"/>
  <c r="E41" i="19"/>
  <c r="D41" i="19" s="1"/>
  <c r="E22" i="8"/>
  <c r="H22" i="8" s="1"/>
  <c r="E41" i="22"/>
  <c r="D41" i="22" s="1"/>
  <c r="E37" i="10"/>
  <c r="E41" i="23"/>
  <c r="D41" i="23" s="1"/>
  <c r="E41" i="7"/>
  <c r="D41" i="7" s="1"/>
  <c r="E37" i="20"/>
  <c r="D37" i="20" s="1"/>
  <c r="E9" i="24"/>
  <c r="G9" i="24" s="1"/>
  <c r="E9" i="8"/>
  <c r="G9" i="8" s="1"/>
  <c r="G60" i="22"/>
  <c r="F60" i="11"/>
  <c r="G60" i="18"/>
  <c r="H60" i="22"/>
  <c r="H60" i="16"/>
  <c r="F60" i="18"/>
  <c r="F60" i="5"/>
  <c r="F60" i="22"/>
  <c r="F60" i="16"/>
  <c r="H60" i="5"/>
  <c r="H60" i="13"/>
  <c r="G60" i="16"/>
  <c r="G60" i="5"/>
  <c r="G60" i="13"/>
  <c r="F60" i="13"/>
  <c r="H60" i="11"/>
  <c r="F60" i="15"/>
  <c r="G60" i="11"/>
  <c r="H60" i="18"/>
  <c r="H60" i="15"/>
  <c r="G60" i="15"/>
  <c r="H60" i="26"/>
  <c r="F60" i="24"/>
  <c r="G60" i="10"/>
  <c r="H60" i="7"/>
  <c r="F60" i="19"/>
  <c r="F60" i="12"/>
  <c r="F60" i="23"/>
  <c r="G60" i="9"/>
  <c r="H60" i="21"/>
  <c r="H60" i="14"/>
  <c r="H60" i="8"/>
  <c r="G60" i="26"/>
  <c r="H60" i="23"/>
  <c r="F60" i="10"/>
  <c r="G60" i="7"/>
  <c r="H60" i="20"/>
  <c r="H60" i="12"/>
  <c r="H60" i="17"/>
  <c r="G60" i="17"/>
  <c r="G60" i="21"/>
  <c r="G60" i="14"/>
  <c r="F60" i="26"/>
  <c r="G60" i="23"/>
  <c r="H60" i="9"/>
  <c r="F60" i="7"/>
  <c r="G60" i="20"/>
  <c r="H60" i="25"/>
  <c r="F60" i="20"/>
  <c r="G60" i="25"/>
  <c r="F60" i="9"/>
  <c r="F60" i="25"/>
  <c r="F60" i="17"/>
  <c r="H60" i="24"/>
  <c r="F60" i="21"/>
  <c r="G60" i="8"/>
  <c r="H60" i="19"/>
  <c r="F60" i="14"/>
  <c r="G60" i="24"/>
  <c r="H60" i="10"/>
  <c r="F60" i="8"/>
  <c r="G60" i="19"/>
  <c r="G60" i="12"/>
  <c r="G20" i="34"/>
  <c r="E35" i="22"/>
  <c r="G47" i="34" s="1"/>
  <c r="E39" i="21"/>
  <c r="D39" i="21" s="1"/>
  <c r="E40" i="9"/>
  <c r="D40" i="9" s="1"/>
  <c r="E35" i="17"/>
  <c r="G38" i="34" s="1"/>
  <c r="F63" i="26"/>
  <c r="H63" i="26"/>
  <c r="G63" i="26"/>
  <c r="H64" i="26"/>
  <c r="G64" i="26"/>
  <c r="F64" i="26"/>
  <c r="H63" i="25"/>
  <c r="F63" i="25"/>
  <c r="G63" i="25"/>
  <c r="G64" i="24"/>
  <c r="F64" i="24"/>
  <c r="H64" i="24"/>
  <c r="B121" i="24"/>
  <c r="H63" i="24"/>
  <c r="G63" i="24"/>
  <c r="F63" i="24"/>
  <c r="H63" i="23"/>
  <c r="G63" i="23"/>
  <c r="F63" i="23"/>
  <c r="H63" i="22"/>
  <c r="F63" i="22"/>
  <c r="G63" i="22"/>
  <c r="G64" i="22"/>
  <c r="F64" i="22"/>
  <c r="H64" i="22"/>
  <c r="F63" i="21"/>
  <c r="H63" i="21"/>
  <c r="G63" i="21"/>
  <c r="E37" i="21"/>
  <c r="E35" i="21"/>
  <c r="G46" i="34" s="1"/>
  <c r="H63" i="13"/>
  <c r="G63" i="13"/>
  <c r="F63" i="13"/>
  <c r="E35" i="13"/>
  <c r="D35" i="13" s="1"/>
  <c r="H63" i="11"/>
  <c r="G63" i="11"/>
  <c r="F63" i="11"/>
  <c r="H64" i="11"/>
  <c r="G64" i="11"/>
  <c r="F64" i="11"/>
  <c r="H63" i="10"/>
  <c r="G63" i="10"/>
  <c r="F63" i="10"/>
  <c r="E42" i="10"/>
  <c r="D42" i="10" s="1"/>
  <c r="F64" i="10"/>
  <c r="H64" i="10"/>
  <c r="G64" i="10"/>
  <c r="H64" i="9"/>
  <c r="F64" i="9"/>
  <c r="G64" i="9"/>
  <c r="F63" i="9"/>
  <c r="H63" i="9"/>
  <c r="G63" i="9"/>
  <c r="C65" i="8"/>
  <c r="H63" i="8"/>
  <c r="G63" i="8"/>
  <c r="F63" i="8"/>
  <c r="H63" i="7"/>
  <c r="F63" i="7"/>
  <c r="G63" i="7"/>
  <c r="H63" i="16"/>
  <c r="F63" i="16"/>
  <c r="G63" i="16"/>
  <c r="G64" i="16"/>
  <c r="F64" i="16"/>
  <c r="H64" i="16"/>
  <c r="H64" i="17"/>
  <c r="G64" i="17"/>
  <c r="F64" i="17"/>
  <c r="B121" i="17"/>
  <c r="E37" i="17"/>
  <c r="F63" i="17"/>
  <c r="H63" i="17"/>
  <c r="G63" i="17"/>
  <c r="G63" i="15"/>
  <c r="H63" i="15"/>
  <c r="F63" i="15"/>
  <c r="H63" i="18"/>
  <c r="G63" i="18"/>
  <c r="F63" i="18"/>
  <c r="H63" i="19"/>
  <c r="G63" i="19"/>
  <c r="F63" i="19"/>
  <c r="B121" i="20"/>
  <c r="H63" i="20"/>
  <c r="G63" i="20"/>
  <c r="F63" i="20"/>
  <c r="H63" i="14"/>
  <c r="G63" i="14"/>
  <c r="F63" i="14"/>
  <c r="E38" i="14"/>
  <c r="D38" i="14" s="1"/>
  <c r="H63" i="12"/>
  <c r="G63" i="12"/>
  <c r="F63" i="12"/>
  <c r="H64" i="12"/>
  <c r="G64" i="12"/>
  <c r="F64" i="12"/>
  <c r="C66" i="29"/>
  <c r="G51" i="30" s="1"/>
  <c r="H63" i="5"/>
  <c r="G63" i="5"/>
  <c r="F63" i="5"/>
  <c r="B33" i="15"/>
  <c r="B33" i="18"/>
  <c r="D119" i="13"/>
  <c r="E119" i="13" s="1"/>
  <c r="G119" i="13" s="1"/>
  <c r="C59" i="13" s="1"/>
  <c r="E59" i="13" s="1"/>
  <c r="D119" i="8"/>
  <c r="E119" i="8" s="1"/>
  <c r="G119" i="8" s="1"/>
  <c r="C59" i="8" s="1"/>
  <c r="E59" i="8" s="1"/>
  <c r="D119" i="15"/>
  <c r="E119" i="15" s="1"/>
  <c r="G119" i="15" s="1"/>
  <c r="C59" i="15" s="1"/>
  <c r="E59" i="15" s="1"/>
  <c r="D119" i="14"/>
  <c r="E119" i="14" s="1"/>
  <c r="G119" i="14" s="1"/>
  <c r="C59" i="14" s="1"/>
  <c r="E59" i="14" s="1"/>
  <c r="D100" i="16"/>
  <c r="E100" i="16" s="1"/>
  <c r="Q14" i="6"/>
  <c r="T28" i="6"/>
  <c r="L7" i="6"/>
  <c r="B143" i="5" s="1"/>
  <c r="C143" i="5" s="1"/>
  <c r="B140" i="5"/>
  <c r="C140" i="5" s="1"/>
  <c r="J7" i="6"/>
  <c r="C5" i="45" s="1"/>
  <c r="K7" i="6"/>
  <c r="B142" i="5" s="1"/>
  <c r="C142" i="5" s="1"/>
  <c r="C33" i="5" s="1"/>
  <c r="E19" i="18"/>
  <c r="F19" i="18" s="1"/>
  <c r="E19" i="10"/>
  <c r="H19" i="10" s="1"/>
  <c r="E19" i="11"/>
  <c r="F19" i="11" s="1"/>
  <c r="E19" i="7"/>
  <c r="G19" i="7" s="1"/>
  <c r="E19" i="22"/>
  <c r="G19" i="22" s="1"/>
  <c r="E19" i="16"/>
  <c r="G19" i="16" s="1"/>
  <c r="E19" i="19"/>
  <c r="F19" i="19" s="1"/>
  <c r="E19" i="17"/>
  <c r="H19" i="17" s="1"/>
  <c r="E19" i="26"/>
  <c r="F19" i="26" s="1"/>
  <c r="E19" i="23"/>
  <c r="F19" i="23" s="1"/>
  <c r="D19" i="5"/>
  <c r="G19" i="5"/>
  <c r="H19" i="5"/>
  <c r="F19" i="5"/>
  <c r="E22" i="23"/>
  <c r="F22" i="23" s="1"/>
  <c r="E38" i="11"/>
  <c r="D38" i="11" s="1"/>
  <c r="E23" i="23"/>
  <c r="F23" i="23" s="1"/>
  <c r="E23" i="7"/>
  <c r="F23" i="7" s="1"/>
  <c r="E38" i="5"/>
  <c r="D38" i="5" s="1"/>
  <c r="E37" i="5"/>
  <c r="D37" i="5" s="1"/>
  <c r="E37" i="9"/>
  <c r="E38" i="7"/>
  <c r="D38" i="7" s="1"/>
  <c r="E64" i="25"/>
  <c r="D64" i="25" s="1"/>
  <c r="E22" i="15"/>
  <c r="H22" i="15" s="1"/>
  <c r="H28" i="17"/>
  <c r="F23" i="10"/>
  <c r="E38" i="25"/>
  <c r="D38" i="25" s="1"/>
  <c r="E64" i="21"/>
  <c r="D64" i="21" s="1"/>
  <c r="G25" i="25"/>
  <c r="G25" i="9"/>
  <c r="G25" i="20"/>
  <c r="E23" i="13"/>
  <c r="F23" i="13" s="1"/>
  <c r="E23" i="15"/>
  <c r="F23" i="15" s="1"/>
  <c r="G26" i="21"/>
  <c r="E10" i="5"/>
  <c r="H10" i="5" s="1"/>
  <c r="G28" i="22"/>
  <c r="G28" i="16"/>
  <c r="E23" i="11"/>
  <c r="F23" i="11" s="1"/>
  <c r="E23" i="18"/>
  <c r="G23" i="18" s="1"/>
  <c r="E10" i="22"/>
  <c r="F10" i="22" s="1"/>
  <c r="A27" i="31"/>
  <c r="B30" i="27"/>
  <c r="A27" i="30"/>
  <c r="L14" i="6"/>
  <c r="B143" i="17" s="1"/>
  <c r="B140" i="17"/>
  <c r="C140" i="17" s="1"/>
  <c r="K14" i="6"/>
  <c r="B142" i="17" s="1"/>
  <c r="C142" i="17" s="1"/>
  <c r="C33" i="17" s="1"/>
  <c r="J14" i="6"/>
  <c r="L13" i="6"/>
  <c r="B143" i="15" s="1"/>
  <c r="B140" i="15"/>
  <c r="C140" i="15" s="1"/>
  <c r="K13" i="6"/>
  <c r="B142" i="15" s="1"/>
  <c r="C142" i="15" s="1"/>
  <c r="C33" i="15" s="1"/>
  <c r="J13" i="6"/>
  <c r="L12" i="6"/>
  <c r="B143" i="18" s="1"/>
  <c r="B140" i="18"/>
  <c r="K12" i="6"/>
  <c r="B142" i="18" s="1"/>
  <c r="C142" i="18" s="1"/>
  <c r="C33" i="18" s="1"/>
  <c r="J12" i="6"/>
  <c r="L19" i="6"/>
  <c r="B143" i="10" s="1"/>
  <c r="B140" i="10"/>
  <c r="C140" i="10" s="1"/>
  <c r="K19" i="6"/>
  <c r="B142" i="10" s="1"/>
  <c r="C142" i="10" s="1"/>
  <c r="C33" i="10" s="1"/>
  <c r="J19" i="6"/>
  <c r="L25" i="6"/>
  <c r="B143" i="24" s="1"/>
  <c r="B140" i="24"/>
  <c r="C140" i="24" s="1"/>
  <c r="K25" i="6"/>
  <c r="B142" i="24" s="1"/>
  <c r="C142" i="24" s="1"/>
  <c r="C33" i="24" s="1"/>
  <c r="J25" i="6"/>
  <c r="L17" i="6"/>
  <c r="B143" i="8" s="1"/>
  <c r="B140" i="8"/>
  <c r="C140" i="8" s="1"/>
  <c r="J17" i="6"/>
  <c r="K17" i="6"/>
  <c r="B142" i="8" s="1"/>
  <c r="C142" i="8" s="1"/>
  <c r="C33" i="8" s="1"/>
  <c r="L9" i="6"/>
  <c r="B140" i="14"/>
  <c r="C140" i="14" s="1"/>
  <c r="J9" i="6"/>
  <c r="K9" i="6"/>
  <c r="C142" i="14" s="1"/>
  <c r="C33" i="14" s="1"/>
  <c r="L21" i="6"/>
  <c r="B143" i="13" s="1"/>
  <c r="B140" i="13"/>
  <c r="C140" i="13" s="1"/>
  <c r="J21" i="6"/>
  <c r="K21" i="6"/>
  <c r="B142" i="13" s="1"/>
  <c r="C142" i="13" s="1"/>
  <c r="C33" i="13" s="1"/>
  <c r="L20" i="6"/>
  <c r="B143" i="11" s="1"/>
  <c r="B140" i="11"/>
  <c r="K20" i="6"/>
  <c r="B142" i="11" s="1"/>
  <c r="C142" i="11" s="1"/>
  <c r="C33" i="11" s="1"/>
  <c r="J20" i="6"/>
  <c r="L11" i="6"/>
  <c r="B143" i="19" s="1"/>
  <c r="B140" i="19"/>
  <c r="C140" i="19" s="1"/>
  <c r="K11" i="6"/>
  <c r="B142" i="19" s="1"/>
  <c r="C142" i="19" s="1"/>
  <c r="C33" i="19" s="1"/>
  <c r="J11" i="6"/>
  <c r="L26" i="6"/>
  <c r="B143" i="25" s="1"/>
  <c r="B140" i="25"/>
  <c r="C140" i="25" s="1"/>
  <c r="K26" i="6"/>
  <c r="B142" i="25" s="1"/>
  <c r="C142" i="25" s="1"/>
  <c r="C33" i="25" s="1"/>
  <c r="J26" i="6"/>
  <c r="L24" i="6"/>
  <c r="B143" i="23" s="1"/>
  <c r="B140" i="23"/>
  <c r="C140" i="23" s="1"/>
  <c r="J24" i="6"/>
  <c r="K24" i="6"/>
  <c r="B142" i="23" s="1"/>
  <c r="C142" i="23" s="1"/>
  <c r="C33" i="23" s="1"/>
  <c r="L16" i="6"/>
  <c r="B143" i="7" s="1"/>
  <c r="B140" i="7"/>
  <c r="C140" i="7" s="1"/>
  <c r="J16" i="6"/>
  <c r="K16" i="6"/>
  <c r="B142" i="7" s="1"/>
  <c r="C142" i="7" s="1"/>
  <c r="C33" i="7" s="1"/>
  <c r="L8" i="6"/>
  <c r="B140" i="12"/>
  <c r="J8" i="6"/>
  <c r="K8" i="6"/>
  <c r="L22" i="6"/>
  <c r="B143" i="21" s="1"/>
  <c r="B140" i="21"/>
  <c r="C140" i="21" s="1"/>
  <c r="K22" i="6"/>
  <c r="B142" i="21" s="1"/>
  <c r="C142" i="21" s="1"/>
  <c r="C33" i="21" s="1"/>
  <c r="J22" i="6"/>
  <c r="L27" i="6"/>
  <c r="B143" i="26" s="1"/>
  <c r="B140" i="26"/>
  <c r="C140" i="26" s="1"/>
  <c r="K27" i="6"/>
  <c r="B142" i="26" s="1"/>
  <c r="C142" i="26" s="1"/>
  <c r="C33" i="26" s="1"/>
  <c r="J27" i="6"/>
  <c r="L18" i="6"/>
  <c r="B143" i="9" s="1"/>
  <c r="B140" i="9"/>
  <c r="J18" i="6"/>
  <c r="K18" i="6"/>
  <c r="B142" i="9" s="1"/>
  <c r="C142" i="9" s="1"/>
  <c r="C33" i="9" s="1"/>
  <c r="L10" i="6"/>
  <c r="B143" i="20" s="1"/>
  <c r="B140" i="20"/>
  <c r="C140" i="20" s="1"/>
  <c r="J10" i="6"/>
  <c r="K10" i="6"/>
  <c r="B142" i="20" s="1"/>
  <c r="C142" i="20" s="1"/>
  <c r="C33" i="20" s="1"/>
  <c r="L23" i="6"/>
  <c r="B143" i="22" s="1"/>
  <c r="B140" i="22"/>
  <c r="J23" i="6"/>
  <c r="K23" i="6"/>
  <c r="B142" i="22" s="1"/>
  <c r="C142" i="22" s="1"/>
  <c r="C33" i="22" s="1"/>
  <c r="L15" i="6"/>
  <c r="B143" i="16" s="1"/>
  <c r="B140" i="16"/>
  <c r="C140" i="16" s="1"/>
  <c r="K15" i="6"/>
  <c r="B142" i="16" s="1"/>
  <c r="C142" i="16" s="1"/>
  <c r="C33" i="16" s="1"/>
  <c r="J15" i="6"/>
  <c r="G23" i="34"/>
  <c r="E35" i="25"/>
  <c r="G50" i="34" s="1"/>
  <c r="E35" i="24"/>
  <c r="D35" i="24" s="1"/>
  <c r="E35" i="23"/>
  <c r="G48" i="34" s="1"/>
  <c r="E35" i="10"/>
  <c r="D35" i="10" s="1"/>
  <c r="E35" i="9"/>
  <c r="G42" i="34" s="1"/>
  <c r="E35" i="8"/>
  <c r="G41" i="34" s="1"/>
  <c r="E35" i="7"/>
  <c r="G40" i="34" s="1"/>
  <c r="E35" i="16"/>
  <c r="G39" i="34" s="1"/>
  <c r="G12" i="34"/>
  <c r="E35" i="20"/>
  <c r="D35" i="20" s="1"/>
  <c r="E35" i="14"/>
  <c r="D35" i="14" s="1"/>
  <c r="E20" i="26"/>
  <c r="F20" i="26" s="1"/>
  <c r="E20" i="10"/>
  <c r="G20" i="10" s="1"/>
  <c r="E20" i="19"/>
  <c r="F20" i="19" s="1"/>
  <c r="E15" i="25"/>
  <c r="H15" i="25" s="1"/>
  <c r="E15" i="9"/>
  <c r="H15" i="9" s="1"/>
  <c r="E15" i="20"/>
  <c r="G15" i="20" s="1"/>
  <c r="E8" i="11"/>
  <c r="H8" i="11" s="1"/>
  <c r="E8" i="18"/>
  <c r="H8" i="18" s="1"/>
  <c r="E64" i="23"/>
  <c r="D64" i="23" s="1"/>
  <c r="H28" i="23"/>
  <c r="E28" i="7"/>
  <c r="D28" i="7" s="1"/>
  <c r="E21" i="23"/>
  <c r="D21" i="23" s="1"/>
  <c r="E21" i="16"/>
  <c r="D21" i="16" s="1"/>
  <c r="E20" i="25"/>
  <c r="D20" i="25" s="1"/>
  <c r="E20" i="9"/>
  <c r="D20" i="9" s="1"/>
  <c r="E20" i="20"/>
  <c r="D20" i="20" s="1"/>
  <c r="E18" i="23"/>
  <c r="H18" i="23" s="1"/>
  <c r="E18" i="7"/>
  <c r="D18" i="7" s="1"/>
  <c r="E17" i="26"/>
  <c r="H17" i="26" s="1"/>
  <c r="E17" i="10"/>
  <c r="G17" i="10" s="1"/>
  <c r="E17" i="20"/>
  <c r="F17" i="20" s="1"/>
  <c r="E15" i="24"/>
  <c r="F15" i="24" s="1"/>
  <c r="E15" i="8"/>
  <c r="F15" i="8" s="1"/>
  <c r="E15" i="14"/>
  <c r="D15" i="14" s="1"/>
  <c r="E21" i="12"/>
  <c r="F21" i="12" s="1"/>
  <c r="E9" i="18"/>
  <c r="F9" i="18" s="1"/>
  <c r="E16" i="9"/>
  <c r="D16" i="9" s="1"/>
  <c r="E21" i="22"/>
  <c r="D21" i="22" s="1"/>
  <c r="E20" i="8"/>
  <c r="F20" i="8" s="1"/>
  <c r="E15" i="23"/>
  <c r="G15" i="23" s="1"/>
  <c r="E21" i="9"/>
  <c r="D21" i="9" s="1"/>
  <c r="E64" i="8"/>
  <c r="D64" i="8" s="1"/>
  <c r="E28" i="21"/>
  <c r="D28" i="21" s="1"/>
  <c r="E27" i="22"/>
  <c r="D27" i="22" s="1"/>
  <c r="H26" i="21"/>
  <c r="E20" i="23"/>
  <c r="H20" i="23" s="1"/>
  <c r="E20" i="7"/>
  <c r="H20" i="7" s="1"/>
  <c r="E17" i="24"/>
  <c r="F17" i="24" s="1"/>
  <c r="N17" i="24" s="1"/>
  <c r="E17" i="8"/>
  <c r="D17" i="8" s="1"/>
  <c r="E15" i="22"/>
  <c r="G15" i="22" s="1"/>
  <c r="E15" i="16"/>
  <c r="D15" i="16" s="1"/>
  <c r="E10" i="21"/>
  <c r="F10" i="21" s="1"/>
  <c r="E8" i="8"/>
  <c r="G8" i="8" s="1"/>
  <c r="E22" i="7"/>
  <c r="D22" i="7" s="1"/>
  <c r="E20" i="14"/>
  <c r="F20" i="14" s="1"/>
  <c r="E15" i="7"/>
  <c r="F15" i="7" s="1"/>
  <c r="E64" i="7"/>
  <c r="D64" i="7" s="1"/>
  <c r="E41" i="15"/>
  <c r="D41" i="15" s="1"/>
  <c r="E20" i="22"/>
  <c r="F20" i="22" s="1"/>
  <c r="E20" i="16"/>
  <c r="F20" i="16" s="1"/>
  <c r="E15" i="21"/>
  <c r="H15" i="21" s="1"/>
  <c r="E15" i="17"/>
  <c r="F15" i="17" s="1"/>
  <c r="E8" i="7"/>
  <c r="G8" i="7" s="1"/>
  <c r="E20" i="24"/>
  <c r="F20" i="24" s="1"/>
  <c r="E26" i="9"/>
  <c r="D26" i="9" s="1"/>
  <c r="E20" i="21"/>
  <c r="F20" i="21" s="1"/>
  <c r="E20" i="17"/>
  <c r="G20" i="17" s="1"/>
  <c r="E17" i="22"/>
  <c r="D17" i="22" s="1"/>
  <c r="E17" i="16"/>
  <c r="D17" i="16" s="1"/>
  <c r="E15" i="13"/>
  <c r="F15" i="13" s="1"/>
  <c r="E15" i="15"/>
  <c r="G15" i="15" s="1"/>
  <c r="E17" i="12"/>
  <c r="D17" i="12" s="1"/>
  <c r="E27" i="5"/>
  <c r="D27" i="5" s="1"/>
  <c r="G27" i="22"/>
  <c r="E42" i="18"/>
  <c r="D42" i="18" s="1"/>
  <c r="E42" i="19"/>
  <c r="D42" i="19" s="1"/>
  <c r="E9" i="26"/>
  <c r="G9" i="26" s="1"/>
  <c r="E9" i="10"/>
  <c r="H9" i="10" s="1"/>
  <c r="G10" i="19"/>
  <c r="H25" i="9"/>
  <c r="E42" i="21"/>
  <c r="D42" i="21" s="1"/>
  <c r="E42" i="13"/>
  <c r="D42" i="13" s="1"/>
  <c r="E9" i="25"/>
  <c r="F9" i="25" s="1"/>
  <c r="E9" i="9"/>
  <c r="H9" i="9" s="1"/>
  <c r="E40" i="24"/>
  <c r="D40" i="24" s="1"/>
  <c r="G28" i="21"/>
  <c r="G28" i="17"/>
  <c r="G23" i="10"/>
  <c r="E40" i="26"/>
  <c r="D40" i="26" s="1"/>
  <c r="E63" i="21"/>
  <c r="D63" i="21" s="1"/>
  <c r="E7" i="15"/>
  <c r="F7" i="15" s="1"/>
  <c r="E40" i="14"/>
  <c r="D40" i="14" s="1"/>
  <c r="E40" i="25"/>
  <c r="D40" i="25" s="1"/>
  <c r="E28" i="11"/>
  <c r="D28" i="11" s="1"/>
  <c r="E39" i="14"/>
  <c r="D39" i="14" s="1"/>
  <c r="G28" i="10"/>
  <c r="E7" i="8"/>
  <c r="H7" i="8" s="1"/>
  <c r="E16" i="14"/>
  <c r="D16" i="14" s="1"/>
  <c r="E16" i="22"/>
  <c r="D16" i="22" s="1"/>
  <c r="E40" i="8"/>
  <c r="D40" i="8" s="1"/>
  <c r="E26" i="21"/>
  <c r="D26" i="21" s="1"/>
  <c r="H28" i="21"/>
  <c r="E42" i="7"/>
  <c r="D42" i="7" s="1"/>
  <c r="E39" i="13"/>
  <c r="D39" i="13" s="1"/>
  <c r="E42" i="26"/>
  <c r="D42" i="26" s="1"/>
  <c r="E28" i="25"/>
  <c r="D28" i="25" s="1"/>
  <c r="E28" i="9"/>
  <c r="D28" i="9" s="1"/>
  <c r="H28" i="20"/>
  <c r="E23" i="22"/>
  <c r="D23" i="22" s="1"/>
  <c r="E23" i="16"/>
  <c r="H23" i="16" s="1"/>
  <c r="E21" i="14"/>
  <c r="F21" i="14" s="1"/>
  <c r="E7" i="23"/>
  <c r="H7" i="23" s="1"/>
  <c r="E7" i="7"/>
  <c r="G7" i="7" s="1"/>
  <c r="E22" i="11"/>
  <c r="F22" i="11" s="1"/>
  <c r="E22" i="18"/>
  <c r="H22" i="18" s="1"/>
  <c r="E28" i="23"/>
  <c r="D28" i="23" s="1"/>
  <c r="E28" i="22"/>
  <c r="D28" i="22" s="1"/>
  <c r="E39" i="15"/>
  <c r="D39" i="15" s="1"/>
  <c r="E63" i="9"/>
  <c r="D63" i="9" s="1"/>
  <c r="G28" i="26"/>
  <c r="E28" i="19"/>
  <c r="D28" i="19" s="1"/>
  <c r="E7" i="14"/>
  <c r="F7" i="14" s="1"/>
  <c r="E16" i="8"/>
  <c r="F16" i="8" s="1"/>
  <c r="E40" i="10"/>
  <c r="D40" i="10" s="1"/>
  <c r="E42" i="11"/>
  <c r="D42" i="11" s="1"/>
  <c r="E39" i="24"/>
  <c r="D39" i="24" s="1"/>
  <c r="E39" i="16"/>
  <c r="D39" i="16" s="1"/>
  <c r="G28" i="24"/>
  <c r="E28" i="8"/>
  <c r="D28" i="8" s="1"/>
  <c r="E28" i="14"/>
  <c r="D28" i="14" s="1"/>
  <c r="E23" i="21"/>
  <c r="D23" i="21" s="1"/>
  <c r="E23" i="17"/>
  <c r="H23" i="17" s="1"/>
  <c r="E21" i="7"/>
  <c r="G21" i="7" s="1"/>
  <c r="E18" i="24"/>
  <c r="H18" i="24" s="1"/>
  <c r="E18" i="8"/>
  <c r="G18" i="8" s="1"/>
  <c r="E18" i="14"/>
  <c r="H18" i="14" s="1"/>
  <c r="E7" i="22"/>
  <c r="H7" i="22" s="1"/>
  <c r="E7" i="16"/>
  <c r="H7" i="16" s="1"/>
  <c r="E23" i="12"/>
  <c r="G23" i="12" s="1"/>
  <c r="E22" i="26"/>
  <c r="G22" i="26" s="1"/>
  <c r="E22" i="10"/>
  <c r="G22" i="10" s="1"/>
  <c r="E22" i="19"/>
  <c r="G22" i="19" s="1"/>
  <c r="H25" i="25"/>
  <c r="E63" i="17"/>
  <c r="D63" i="17" s="1"/>
  <c r="G25" i="5"/>
  <c r="E63" i="15"/>
  <c r="D63" i="15" s="1"/>
  <c r="G25" i="23"/>
  <c r="G28" i="5"/>
  <c r="F23" i="26"/>
  <c r="E40" i="17"/>
  <c r="D40" i="17" s="1"/>
  <c r="G23" i="26"/>
  <c r="G28" i="14"/>
  <c r="E42" i="15"/>
  <c r="D42" i="15" s="1"/>
  <c r="E42" i="25"/>
  <c r="D42" i="25" s="1"/>
  <c r="E40" i="7"/>
  <c r="D40" i="7" s="1"/>
  <c r="E39" i="26"/>
  <c r="D39" i="26" s="1"/>
  <c r="G28" i="13"/>
  <c r="E28" i="15"/>
  <c r="D28" i="15" s="1"/>
  <c r="E25" i="16"/>
  <c r="D25" i="16" s="1"/>
  <c r="E23" i="25"/>
  <c r="F23" i="25" s="1"/>
  <c r="E23" i="9"/>
  <c r="D23" i="9" s="1"/>
  <c r="E23" i="20"/>
  <c r="H23" i="20" s="1"/>
  <c r="E21" i="18"/>
  <c r="D21" i="18" s="1"/>
  <c r="E18" i="13"/>
  <c r="F18" i="13" s="1"/>
  <c r="E18" i="15"/>
  <c r="H18" i="15" s="1"/>
  <c r="E16" i="24"/>
  <c r="G16" i="24" s="1"/>
  <c r="E16" i="15"/>
  <c r="G16" i="15" s="1"/>
  <c r="E7" i="26"/>
  <c r="H7" i="26" s="1"/>
  <c r="E7" i="19"/>
  <c r="H7" i="19" s="1"/>
  <c r="E46" i="12"/>
  <c r="D46" i="12" s="1"/>
  <c r="D49" i="12" s="1"/>
  <c r="E22" i="16"/>
  <c r="G22" i="16" s="1"/>
  <c r="G25" i="14"/>
  <c r="E7" i="13"/>
  <c r="H7" i="13" s="1"/>
  <c r="E40" i="20"/>
  <c r="D40" i="20" s="1"/>
  <c r="H27" i="20"/>
  <c r="E63" i="13"/>
  <c r="D63" i="13" s="1"/>
  <c r="E28" i="17"/>
  <c r="D28" i="17" s="1"/>
  <c r="H28" i="7"/>
  <c r="E39" i="20"/>
  <c r="D39" i="20" s="1"/>
  <c r="H28" i="11"/>
  <c r="H28" i="18"/>
  <c r="G25" i="21"/>
  <c r="G25" i="17"/>
  <c r="E23" i="24"/>
  <c r="D23" i="24" s="1"/>
  <c r="E23" i="8"/>
  <c r="G23" i="8" s="1"/>
  <c r="E23" i="14"/>
  <c r="F23" i="14" s="1"/>
  <c r="E21" i="11"/>
  <c r="D21" i="11" s="1"/>
  <c r="E21" i="19"/>
  <c r="D21" i="19" s="1"/>
  <c r="E18" i="11"/>
  <c r="G18" i="11" s="1"/>
  <c r="E18" i="18"/>
  <c r="H18" i="18" s="1"/>
  <c r="E16" i="18"/>
  <c r="F16" i="18" s="1"/>
  <c r="E7" i="25"/>
  <c r="G7" i="25" s="1"/>
  <c r="E7" i="9"/>
  <c r="F7" i="9" s="1"/>
  <c r="E7" i="20"/>
  <c r="F7" i="20" s="1"/>
  <c r="E22" i="21"/>
  <c r="G22" i="21" s="1"/>
  <c r="E22" i="17"/>
  <c r="F22" i="17" s="1"/>
  <c r="B33" i="5"/>
  <c r="A142" i="25"/>
  <c r="A142" i="10"/>
  <c r="A142" i="26"/>
  <c r="A142" i="24"/>
  <c r="A142" i="23"/>
  <c r="A142" i="21"/>
  <c r="A142" i="13"/>
  <c r="A142" i="11"/>
  <c r="A142" i="22"/>
  <c r="A142" i="15"/>
  <c r="B33" i="16"/>
  <c r="A142" i="12"/>
  <c r="A142" i="17"/>
  <c r="A142" i="16"/>
  <c r="A142" i="18"/>
  <c r="A142" i="7"/>
  <c r="A142" i="9"/>
  <c r="A142" i="8"/>
  <c r="A142" i="20"/>
  <c r="A142" i="19"/>
  <c r="A142" i="5"/>
  <c r="A142" i="14"/>
  <c r="G26" i="17"/>
  <c r="E26" i="17"/>
  <c r="D26" i="17" s="1"/>
  <c r="H10" i="19"/>
  <c r="H10" i="16"/>
  <c r="G10" i="16"/>
  <c r="E28" i="26"/>
  <c r="D28" i="26" s="1"/>
  <c r="A141" i="8"/>
  <c r="B32" i="8"/>
  <c r="A141" i="7"/>
  <c r="B32" i="7"/>
  <c r="A141" i="16"/>
  <c r="B32" i="16"/>
  <c r="A141" i="17"/>
  <c r="B32" i="17"/>
  <c r="A141" i="15"/>
  <c r="B32" i="15"/>
  <c r="A141" i="18"/>
  <c r="B32" i="18"/>
  <c r="A141" i="19"/>
  <c r="B32" i="19"/>
  <c r="A141" i="20"/>
  <c r="B32" i="20"/>
  <c r="A141" i="14"/>
  <c r="B32" i="14"/>
  <c r="A141" i="12"/>
  <c r="B32" i="12"/>
  <c r="G28" i="11"/>
  <c r="E60" i="15"/>
  <c r="BN42" i="27"/>
  <c r="M42" i="27" s="1"/>
  <c r="BM52" i="27"/>
  <c r="L52" i="27" s="1"/>
  <c r="BN52" i="27"/>
  <c r="D19" i="14"/>
  <c r="E28" i="18"/>
  <c r="D28" i="18" s="1"/>
  <c r="G28" i="19"/>
  <c r="E60" i="18"/>
  <c r="G28" i="18"/>
  <c r="D19" i="8"/>
  <c r="H28" i="26"/>
  <c r="BM43" i="27"/>
  <c r="G16" i="34"/>
  <c r="D19" i="24"/>
  <c r="E28" i="10"/>
  <c r="D28" i="10" s="1"/>
  <c r="E39" i="25"/>
  <c r="D39" i="25" s="1"/>
  <c r="E28" i="13"/>
  <c r="D28" i="13" s="1"/>
  <c r="G9" i="34"/>
  <c r="BN46" i="27"/>
  <c r="E42" i="8"/>
  <c r="D42" i="8" s="1"/>
  <c r="E42" i="14"/>
  <c r="D42" i="14" s="1"/>
  <c r="E40" i="16"/>
  <c r="D40" i="16" s="1"/>
  <c r="E39" i="9"/>
  <c r="D39" i="9" s="1"/>
  <c r="E40" i="22"/>
  <c r="D40" i="22" s="1"/>
  <c r="E28" i="5"/>
  <c r="D28" i="5" s="1"/>
  <c r="E37" i="23"/>
  <c r="D37" i="23" s="1"/>
  <c r="E41" i="18"/>
  <c r="D41" i="18" s="1"/>
  <c r="E42" i="24"/>
  <c r="D42" i="24" s="1"/>
  <c r="BN48" i="27"/>
  <c r="E60" i="8"/>
  <c r="E41" i="26"/>
  <c r="D41" i="26" s="1"/>
  <c r="E39" i="8"/>
  <c r="D39" i="8" s="1"/>
  <c r="E38" i="18"/>
  <c r="D38" i="18" s="1"/>
  <c r="E37" i="22"/>
  <c r="G15" i="34"/>
  <c r="G7" i="34"/>
  <c r="D27" i="9"/>
  <c r="D19" i="25"/>
  <c r="D19" i="9"/>
  <c r="D19" i="20"/>
  <c r="G17" i="34"/>
  <c r="E42" i="22"/>
  <c r="D42" i="22" s="1"/>
  <c r="E38" i="26"/>
  <c r="D38" i="26" s="1"/>
  <c r="G6" i="34"/>
  <c r="E35" i="26"/>
  <c r="E35" i="18"/>
  <c r="E60" i="19"/>
  <c r="G14" i="34"/>
  <c r="H25" i="17"/>
  <c r="H28" i="9"/>
  <c r="E38" i="15"/>
  <c r="D38" i="15" s="1"/>
  <c r="E42" i="17"/>
  <c r="D42" i="17" s="1"/>
  <c r="BM46" i="27"/>
  <c r="E39" i="17"/>
  <c r="D39" i="17" s="1"/>
  <c r="E38" i="24"/>
  <c r="D38" i="24" s="1"/>
  <c r="E37" i="18"/>
  <c r="D37" i="18" s="1"/>
  <c r="D17" i="18"/>
  <c r="E40" i="23"/>
  <c r="D40" i="23" s="1"/>
  <c r="E39" i="10"/>
  <c r="D39" i="10" s="1"/>
  <c r="E37" i="14"/>
  <c r="D37" i="14" s="1"/>
  <c r="E42" i="20"/>
  <c r="D42" i="20" s="1"/>
  <c r="E39" i="19"/>
  <c r="B35" i="34" s="1"/>
  <c r="BN50" i="27"/>
  <c r="M50" i="27" s="1"/>
  <c r="E42" i="16"/>
  <c r="D42" i="16" s="1"/>
  <c r="G22" i="34"/>
  <c r="E35" i="19"/>
  <c r="D35" i="19" s="1"/>
  <c r="E37" i="24"/>
  <c r="D37" i="24" s="1"/>
  <c r="E41" i="9"/>
  <c r="D41" i="9" s="1"/>
  <c r="G21" i="34"/>
  <c r="E40" i="18"/>
  <c r="D40" i="18" s="1"/>
  <c r="E28" i="20"/>
  <c r="D28" i="20" s="1"/>
  <c r="H28" i="25"/>
  <c r="H27" i="21"/>
  <c r="G28" i="8"/>
  <c r="E60" i="13"/>
  <c r="G8" i="34"/>
  <c r="BN55" i="27"/>
  <c r="D60" i="11"/>
  <c r="E38" i="23"/>
  <c r="D38" i="23" s="1"/>
  <c r="E37" i="26"/>
  <c r="D37" i="26" s="1"/>
  <c r="E37" i="19"/>
  <c r="G19" i="34"/>
  <c r="G11" i="34"/>
  <c r="E39" i="7"/>
  <c r="D39" i="7" s="1"/>
  <c r="E38" i="19"/>
  <c r="D38" i="19" s="1"/>
  <c r="E41" i="24"/>
  <c r="D41" i="24" s="1"/>
  <c r="E38" i="20"/>
  <c r="D38" i="20" s="1"/>
  <c r="E37" i="13"/>
  <c r="D37" i="13" s="1"/>
  <c r="G13" i="34"/>
  <c r="H25" i="21"/>
  <c r="E37" i="7"/>
  <c r="D37" i="7" s="1"/>
  <c r="E38" i="10"/>
  <c r="D38" i="10" s="1"/>
  <c r="E35" i="11"/>
  <c r="E38" i="9"/>
  <c r="D38" i="9" s="1"/>
  <c r="E39" i="22"/>
  <c r="D39" i="22" s="1"/>
  <c r="G24" i="34"/>
  <c r="E41" i="21"/>
  <c r="D41" i="21" s="1"/>
  <c r="E41" i="17"/>
  <c r="D41" i="17" s="1"/>
  <c r="E39" i="11"/>
  <c r="D39" i="11" s="1"/>
  <c r="E39" i="18"/>
  <c r="D39" i="18" s="1"/>
  <c r="E38" i="16"/>
  <c r="D38" i="16" s="1"/>
  <c r="D19" i="13"/>
  <c r="D19" i="15"/>
  <c r="A141" i="5"/>
  <c r="B32" i="5"/>
  <c r="E42" i="5"/>
  <c r="D42" i="5" s="1"/>
  <c r="E40" i="5"/>
  <c r="D40" i="5" s="1"/>
  <c r="E60" i="5"/>
  <c r="E39" i="5"/>
  <c r="D39" i="5" s="1"/>
  <c r="D117" i="8"/>
  <c r="E117" i="8" s="1"/>
  <c r="G117" i="8" s="1"/>
  <c r="C58" i="8" s="1"/>
  <c r="E58" i="8" s="1"/>
  <c r="D117" i="18"/>
  <c r="E117" i="18" s="1"/>
  <c r="G117" i="18" s="1"/>
  <c r="C58" i="18" s="1"/>
  <c r="E58" i="18" s="1"/>
  <c r="G28" i="6"/>
  <c r="B31" i="21"/>
  <c r="B34" i="11"/>
  <c r="B31" i="16"/>
  <c r="B31" i="26"/>
  <c r="B31" i="22"/>
  <c r="B31" i="7"/>
  <c r="B31" i="14"/>
  <c r="M56" i="27"/>
  <c r="O64" i="13" s="1"/>
  <c r="B31" i="23"/>
  <c r="B31" i="10"/>
  <c r="B31" i="8"/>
  <c r="B34" i="18"/>
  <c r="B34" i="20"/>
  <c r="F16" i="27"/>
  <c r="B34" i="15"/>
  <c r="B31" i="18"/>
  <c r="B31" i="20"/>
  <c r="B31" i="15"/>
  <c r="B31" i="25"/>
  <c r="B31" i="11"/>
  <c r="B34" i="10"/>
  <c r="B31" i="24"/>
  <c r="B34" i="22"/>
  <c r="B31" i="9"/>
  <c r="B31" i="19"/>
  <c r="N17" i="27"/>
  <c r="K36" i="27"/>
  <c r="M39" i="14" s="1"/>
  <c r="G51" i="27"/>
  <c r="G45" i="27"/>
  <c r="G34" i="27"/>
  <c r="H22" i="27"/>
  <c r="N7" i="27"/>
  <c r="P6" i="12" s="1"/>
  <c r="F15" i="27"/>
  <c r="I16" i="15" s="1"/>
  <c r="F51" i="27"/>
  <c r="F45" i="27"/>
  <c r="F34" i="27"/>
  <c r="K27" i="27"/>
  <c r="M34" i="27"/>
  <c r="L24" i="27"/>
  <c r="L35" i="27"/>
  <c r="K30" i="27"/>
  <c r="M46" i="27"/>
  <c r="M20" i="27"/>
  <c r="K7" i="27"/>
  <c r="K29" i="27"/>
  <c r="N12" i="27"/>
  <c r="M43" i="27"/>
  <c r="K26" i="27"/>
  <c r="M27" i="14" s="1"/>
  <c r="K20" i="27"/>
  <c r="L17" i="27"/>
  <c r="N8" i="27"/>
  <c r="N30" i="27"/>
  <c r="M45" i="27"/>
  <c r="M37" i="27"/>
  <c r="O40" i="23" s="1"/>
  <c r="L38" i="27"/>
  <c r="N41" i="22" s="1"/>
  <c r="K51" i="27"/>
  <c r="N18" i="27"/>
  <c r="P19" i="5" s="1"/>
  <c r="M17" i="27"/>
  <c r="K25" i="27"/>
  <c r="M26" i="20" s="1"/>
  <c r="L21" i="27"/>
  <c r="M18" i="27"/>
  <c r="O19" i="5" s="1"/>
  <c r="N15" i="27"/>
  <c r="L31" i="27"/>
  <c r="N53" i="27"/>
  <c r="N43" i="27"/>
  <c r="N9" i="27"/>
  <c r="P8" i="10" s="1"/>
  <c r="M47" i="27"/>
  <c r="M35" i="27"/>
  <c r="O38" i="18" s="1"/>
  <c r="L48" i="27"/>
  <c r="L36" i="27"/>
  <c r="K37" i="27"/>
  <c r="N14" i="27"/>
  <c r="N51" i="27"/>
  <c r="N39" i="27"/>
  <c r="P42" i="19" s="1"/>
  <c r="L34" i="27"/>
  <c r="K47" i="27"/>
  <c r="K14" i="27"/>
  <c r="M15" i="20" s="1"/>
  <c r="L30" i="27"/>
  <c r="N21" i="27"/>
  <c r="M31" i="27"/>
  <c r="N38" i="27"/>
  <c r="P41" i="14" s="1"/>
  <c r="L43" i="27"/>
  <c r="K46" i="27"/>
  <c r="M7" i="27"/>
  <c r="L27" i="27"/>
  <c r="K16" i="27"/>
  <c r="M17" i="22" s="1"/>
  <c r="L11" i="27"/>
  <c r="N10" i="5" s="1"/>
  <c r="L32" i="27"/>
  <c r="M27" i="27"/>
  <c r="O28" i="18" s="1"/>
  <c r="N24" i="27"/>
  <c r="K55" i="27"/>
  <c r="L12" i="27"/>
  <c r="F25" i="27"/>
  <c r="N37" i="27"/>
  <c r="M51" i="27"/>
  <c r="M39" i="27"/>
  <c r="O42" i="26" s="1"/>
  <c r="L42" i="27"/>
  <c r="K53" i="27"/>
  <c r="K9" i="27"/>
  <c r="M8" i="26" s="1"/>
  <c r="B33" i="11"/>
  <c r="I7" i="27"/>
  <c r="L6" i="5" s="1"/>
  <c r="L7" i="27"/>
  <c r="L18" i="27"/>
  <c r="N19" i="5" s="1"/>
  <c r="K17" i="27"/>
  <c r="L26" i="27"/>
  <c r="N19" i="27"/>
  <c r="L41" i="27"/>
  <c r="N46" i="24" s="1"/>
  <c r="M53" i="27"/>
  <c r="K35" i="27"/>
  <c r="L8" i="27"/>
  <c r="M25" i="27"/>
  <c r="N41" i="27"/>
  <c r="F24" i="27"/>
  <c r="M52" i="27"/>
  <c r="L53" i="27"/>
  <c r="K19" i="27"/>
  <c r="M20" i="11" s="1"/>
  <c r="K18" i="27"/>
  <c r="L15" i="27"/>
  <c r="M10" i="27"/>
  <c r="M29" i="27"/>
  <c r="N26" i="27"/>
  <c r="M55" i="27"/>
  <c r="K31" i="27"/>
  <c r="M34" i="5" s="1"/>
  <c r="N36" i="27"/>
  <c r="M38" i="27"/>
  <c r="L51" i="27"/>
  <c r="L39" i="27"/>
  <c r="N25" i="27"/>
  <c r="M21" i="27"/>
  <c r="K11" i="27"/>
  <c r="K10" i="27"/>
  <c r="M22" i="27"/>
  <c r="O23" i="9" s="1"/>
  <c r="K12" i="27"/>
  <c r="L46" i="27"/>
  <c r="M14" i="27"/>
  <c r="N35" i="27"/>
  <c r="L50" i="27"/>
  <c r="K39" i="27"/>
  <c r="M42" i="13" s="1"/>
  <c r="L9" i="27"/>
  <c r="N8" i="25" s="1"/>
  <c r="K22" i="27"/>
  <c r="L19" i="27"/>
  <c r="M16" i="27"/>
  <c r="N11" i="27"/>
  <c r="N32" i="27"/>
  <c r="N56" i="27"/>
  <c r="N46" i="27"/>
  <c r="N34" i="27"/>
  <c r="M48" i="27"/>
  <c r="M36" i="27"/>
  <c r="L37" i="27"/>
  <c r="K38" i="27"/>
  <c r="N16" i="27"/>
  <c r="B33" i="23"/>
  <c r="B33" i="7"/>
  <c r="F53" i="27"/>
  <c r="F52" i="27"/>
  <c r="B34" i="12"/>
  <c r="F14" i="27"/>
  <c r="F22" i="27"/>
  <c r="I23" i="7" s="1"/>
  <c r="B34" i="24"/>
  <c r="B33" i="10"/>
  <c r="B34" i="9"/>
  <c r="H51" i="27"/>
  <c r="H45" i="27"/>
  <c r="H34" i="27"/>
  <c r="I22" i="27"/>
  <c r="I8" i="27"/>
  <c r="N22" i="27"/>
  <c r="M26" i="27"/>
  <c r="L22" i="27"/>
  <c r="K21" i="27"/>
  <c r="F17" i="27"/>
  <c r="F26" i="27"/>
  <c r="I53" i="27"/>
  <c r="I52" i="27"/>
  <c r="G22" i="27"/>
  <c r="F18" i="27"/>
  <c r="I19" i="5" s="1"/>
  <c r="F27" i="27"/>
  <c r="B34" i="26"/>
  <c r="B33" i="25"/>
  <c r="B33" i="21"/>
  <c r="B34" i="13"/>
  <c r="H53" i="27"/>
  <c r="H52" i="27"/>
  <c r="H47" i="27"/>
  <c r="B33" i="14"/>
  <c r="F55" i="27"/>
  <c r="N10" i="27"/>
  <c r="P9" i="21" s="1"/>
  <c r="M9" i="27"/>
  <c r="I49" i="27"/>
  <c r="B33" i="26"/>
  <c r="B33" i="13"/>
  <c r="I47" i="27"/>
  <c r="F9" i="27"/>
  <c r="F19" i="27"/>
  <c r="F30" i="27"/>
  <c r="B34" i="25"/>
  <c r="B33" i="22"/>
  <c r="B34" i="21"/>
  <c r="B33" i="17"/>
  <c r="G53" i="27"/>
  <c r="G52" i="27"/>
  <c r="G47" i="27"/>
  <c r="I11" i="27"/>
  <c r="B33" i="20"/>
  <c r="B34" i="14"/>
  <c r="M12" i="27"/>
  <c r="G10" i="27"/>
  <c r="I42" i="27"/>
  <c r="F10" i="27"/>
  <c r="F20" i="27"/>
  <c r="B33" i="8"/>
  <c r="F47" i="27"/>
  <c r="I10" i="27"/>
  <c r="B33" i="19"/>
  <c r="F11" i="27"/>
  <c r="F21" i="27"/>
  <c r="I22" i="14" s="1"/>
  <c r="B33" i="24"/>
  <c r="B34" i="23"/>
  <c r="B33" i="9"/>
  <c r="B34" i="8"/>
  <c r="B34" i="7"/>
  <c r="I51" i="27"/>
  <c r="I45" i="27"/>
  <c r="I34" i="27"/>
  <c r="I9" i="27"/>
  <c r="B34" i="19"/>
  <c r="K41" i="27"/>
  <c r="N27" i="27"/>
  <c r="K32" i="27"/>
  <c r="F7" i="27"/>
  <c r="F29" i="27"/>
  <c r="D117" i="16"/>
  <c r="E117" i="16" s="1"/>
  <c r="G117" i="16" s="1"/>
  <c r="C58" i="16" s="1"/>
  <c r="E58" i="16" s="1"/>
  <c r="D117" i="20"/>
  <c r="E117" i="20" s="1"/>
  <c r="G117" i="20" s="1"/>
  <c r="C58" i="20" s="1"/>
  <c r="D117" i="13"/>
  <c r="E117" i="13" s="1"/>
  <c r="G117" i="13" s="1"/>
  <c r="C58" i="13" s="1"/>
  <c r="E58" i="13" s="1"/>
  <c r="F58" i="13" s="1"/>
  <c r="D117" i="9"/>
  <c r="E117" i="9" s="1"/>
  <c r="G117" i="9" s="1"/>
  <c r="C58" i="9" s="1"/>
  <c r="E58" i="9" s="1"/>
  <c r="D117" i="15"/>
  <c r="E117" i="15" s="1"/>
  <c r="G117" i="15" s="1"/>
  <c r="C58" i="15" s="1"/>
  <c r="E58" i="15" s="1"/>
  <c r="H58" i="15" s="1"/>
  <c r="D117" i="7"/>
  <c r="E117" i="7" s="1"/>
  <c r="G117" i="7" s="1"/>
  <c r="C58" i="7" s="1"/>
  <c r="E58" i="7" s="1"/>
  <c r="D117" i="19"/>
  <c r="E117" i="19" s="1"/>
  <c r="G117" i="19" s="1"/>
  <c r="C58" i="19" s="1"/>
  <c r="E58" i="19" s="1"/>
  <c r="D117" i="21"/>
  <c r="E117" i="21" s="1"/>
  <c r="G117" i="21" s="1"/>
  <c r="C58" i="21" s="1"/>
  <c r="E58" i="21" s="1"/>
  <c r="D108" i="11"/>
  <c r="E108" i="11" s="1"/>
  <c r="G108" i="11" s="1"/>
  <c r="C55" i="11" s="1"/>
  <c r="E55" i="11" s="1"/>
  <c r="D108" i="7"/>
  <c r="E108" i="7" s="1"/>
  <c r="G108" i="7" s="1"/>
  <c r="C55" i="7" s="1"/>
  <c r="E55" i="7" s="1"/>
  <c r="D108" i="18"/>
  <c r="E108" i="18" s="1"/>
  <c r="G108" i="18" s="1"/>
  <c r="C55" i="18" s="1"/>
  <c r="E55" i="18" s="1"/>
  <c r="F104" i="24"/>
  <c r="D119" i="26"/>
  <c r="E119" i="26" s="1"/>
  <c r="G119" i="26" s="1"/>
  <c r="C59" i="26" s="1"/>
  <c r="E59" i="26" s="1"/>
  <c r="F59" i="26" s="1"/>
  <c r="H17" i="25"/>
  <c r="G17" i="25"/>
  <c r="Q22" i="6"/>
  <c r="G19" i="15"/>
  <c r="C65" i="21"/>
  <c r="E63" i="5"/>
  <c r="H19" i="15"/>
  <c r="D106" i="21"/>
  <c r="E106" i="21" s="1"/>
  <c r="G106" i="21" s="1"/>
  <c r="C54" i="21" s="1"/>
  <c r="E54" i="21" s="1"/>
  <c r="D106" i="9"/>
  <c r="E106" i="9" s="1"/>
  <c r="G106" i="9" s="1"/>
  <c r="C54" i="9" s="1"/>
  <c r="E54" i="9" s="1"/>
  <c r="D106" i="17"/>
  <c r="E106" i="17" s="1"/>
  <c r="G106" i="17" s="1"/>
  <c r="C54" i="17" s="1"/>
  <c r="E54" i="17" s="1"/>
  <c r="D106" i="20"/>
  <c r="E106" i="20" s="1"/>
  <c r="G106" i="20" s="1"/>
  <c r="C54" i="20" s="1"/>
  <c r="E54" i="20" s="1"/>
  <c r="D106" i="11"/>
  <c r="E106" i="11" s="1"/>
  <c r="G106" i="11" s="1"/>
  <c r="C54" i="11" s="1"/>
  <c r="E54" i="11" s="1"/>
  <c r="D106" i="7"/>
  <c r="E106" i="7" s="1"/>
  <c r="G106" i="7" s="1"/>
  <c r="C54" i="7" s="1"/>
  <c r="E54" i="7" s="1"/>
  <c r="D106" i="18"/>
  <c r="E106" i="18" s="1"/>
  <c r="G106" i="18" s="1"/>
  <c r="C54" i="18" s="1"/>
  <c r="E54" i="18" s="1"/>
  <c r="D102" i="17"/>
  <c r="E102" i="17" s="1"/>
  <c r="G102" i="17" s="1"/>
  <c r="H19" i="13"/>
  <c r="C22" i="22"/>
  <c r="L94" i="49" s="1"/>
  <c r="D102" i="9"/>
  <c r="E102" i="9" s="1"/>
  <c r="G102" i="9" s="1"/>
  <c r="G19" i="13"/>
  <c r="Q15" i="6"/>
  <c r="D119" i="22"/>
  <c r="E119" i="22" s="1"/>
  <c r="G119" i="22" s="1"/>
  <c r="C59" i="22" s="1"/>
  <c r="E59" i="22" s="1"/>
  <c r="D119" i="10"/>
  <c r="E119" i="10" s="1"/>
  <c r="G119" i="10" s="1"/>
  <c r="C59" i="10" s="1"/>
  <c r="E59" i="10" s="1"/>
  <c r="H59" i="10" s="1"/>
  <c r="D119" i="16"/>
  <c r="E119" i="16" s="1"/>
  <c r="G119" i="16" s="1"/>
  <c r="C59" i="16" s="1"/>
  <c r="E59" i="16" s="1"/>
  <c r="D119" i="19"/>
  <c r="E119" i="19" s="1"/>
  <c r="G119" i="19" s="1"/>
  <c r="C59" i="19" s="1"/>
  <c r="E59" i="19" s="1"/>
  <c r="F59" i="19" s="1"/>
  <c r="D108" i="22"/>
  <c r="E108" i="22" s="1"/>
  <c r="G108" i="22" s="1"/>
  <c r="C55" i="22" s="1"/>
  <c r="E55" i="22" s="1"/>
  <c r="D108" i="10"/>
  <c r="E108" i="10" s="1"/>
  <c r="G108" i="10" s="1"/>
  <c r="C55" i="10" s="1"/>
  <c r="E55" i="10" s="1"/>
  <c r="D108" i="16"/>
  <c r="E108" i="16" s="1"/>
  <c r="G108" i="16" s="1"/>
  <c r="C55" i="16" s="1"/>
  <c r="E55" i="16" s="1"/>
  <c r="D108" i="19"/>
  <c r="E108" i="19" s="1"/>
  <c r="G108" i="19" s="1"/>
  <c r="C55" i="19" s="1"/>
  <c r="E55" i="19" s="1"/>
  <c r="G55" i="19" s="1"/>
  <c r="D100" i="21"/>
  <c r="E100" i="21" s="1"/>
  <c r="D100" i="11"/>
  <c r="E100" i="11" s="1"/>
  <c r="D100" i="7"/>
  <c r="D102" i="7"/>
  <c r="E102" i="7" s="1"/>
  <c r="G102" i="7" s="1"/>
  <c r="D102" i="11"/>
  <c r="E102" i="11" s="1"/>
  <c r="G102" i="11" s="1"/>
  <c r="D108" i="21"/>
  <c r="E108" i="21" s="1"/>
  <c r="G108" i="21" s="1"/>
  <c r="C55" i="21" s="1"/>
  <c r="E55" i="21" s="1"/>
  <c r="F55" i="21" s="1"/>
  <c r="D108" i="9"/>
  <c r="E108" i="9" s="1"/>
  <c r="G108" i="9" s="1"/>
  <c r="C55" i="9" s="1"/>
  <c r="E55" i="9" s="1"/>
  <c r="F55" i="9" s="1"/>
  <c r="D108" i="17"/>
  <c r="E108" i="17" s="1"/>
  <c r="G108" i="17" s="1"/>
  <c r="C55" i="17" s="1"/>
  <c r="E55" i="17" s="1"/>
  <c r="D108" i="20"/>
  <c r="E108" i="20" s="1"/>
  <c r="G108" i="20" s="1"/>
  <c r="C55" i="20" s="1"/>
  <c r="E55" i="20" s="1"/>
  <c r="C65" i="7"/>
  <c r="F15" i="18"/>
  <c r="C104" i="18"/>
  <c r="C121" i="18" s="1"/>
  <c r="C104" i="20"/>
  <c r="C121" i="20" s="1"/>
  <c r="F19" i="9"/>
  <c r="H17" i="18"/>
  <c r="F17" i="23"/>
  <c r="N17" i="23" s="1"/>
  <c r="C104" i="19"/>
  <c r="C121" i="19" s="1"/>
  <c r="F104" i="23"/>
  <c r="F104" i="26"/>
  <c r="F19" i="13"/>
  <c r="H17" i="9"/>
  <c r="Q9" i="6"/>
  <c r="C104" i="5"/>
  <c r="H19" i="25"/>
  <c r="G19" i="25"/>
  <c r="Q17" i="6"/>
  <c r="F19" i="15"/>
  <c r="C65" i="24"/>
  <c r="G19" i="9"/>
  <c r="Q16" i="6"/>
  <c r="C22" i="12"/>
  <c r="L79" i="49" s="1"/>
  <c r="D102" i="18"/>
  <c r="E102" i="18" s="1"/>
  <c r="G102" i="18" s="1"/>
  <c r="D102" i="20"/>
  <c r="E102" i="20" s="1"/>
  <c r="G102" i="20" s="1"/>
  <c r="F17" i="18"/>
  <c r="N17" i="18" s="1"/>
  <c r="Q20" i="6"/>
  <c r="F104" i="9"/>
  <c r="F121" i="9" s="1"/>
  <c r="D117" i="14"/>
  <c r="E117" i="14" s="1"/>
  <c r="G117" i="14" s="1"/>
  <c r="C58" i="14" s="1"/>
  <c r="E58" i="14" s="1"/>
  <c r="Q12" i="6"/>
  <c r="D102" i="13"/>
  <c r="E102" i="13" s="1"/>
  <c r="G102" i="13" s="1"/>
  <c r="D102" i="16"/>
  <c r="E102" i="16" s="1"/>
  <c r="G102" i="16" s="1"/>
  <c r="G17" i="9"/>
  <c r="C104" i="21"/>
  <c r="C121" i="21" s="1"/>
  <c r="C65" i="10"/>
  <c r="G17" i="18"/>
  <c r="D102" i="8"/>
  <c r="E102" i="8" s="1"/>
  <c r="G102" i="8" s="1"/>
  <c r="C104" i="11"/>
  <c r="Q27" i="6"/>
  <c r="D108" i="13"/>
  <c r="E108" i="13" s="1"/>
  <c r="G108" i="13" s="1"/>
  <c r="C55" i="13" s="1"/>
  <c r="E55" i="13" s="1"/>
  <c r="D108" i="8"/>
  <c r="E108" i="8" s="1"/>
  <c r="G108" i="8" s="1"/>
  <c r="C55" i="8" s="1"/>
  <c r="E55" i="8" s="1"/>
  <c r="D108" i="15"/>
  <c r="E108" i="15" s="1"/>
  <c r="G108" i="15" s="1"/>
  <c r="C55" i="15" s="1"/>
  <c r="E55" i="15" s="1"/>
  <c r="D108" i="14"/>
  <c r="E108" i="14" s="1"/>
  <c r="G108" i="14" s="1"/>
  <c r="C55" i="14" s="1"/>
  <c r="E55" i="14" s="1"/>
  <c r="D102" i="22"/>
  <c r="E102" i="22" s="1"/>
  <c r="G102" i="22" s="1"/>
  <c r="D102" i="15"/>
  <c r="E102" i="15" s="1"/>
  <c r="G102" i="15" s="1"/>
  <c r="D102" i="19"/>
  <c r="E102" i="19" s="1"/>
  <c r="G102" i="19" s="1"/>
  <c r="D102" i="14"/>
  <c r="E102" i="14" s="1"/>
  <c r="G102" i="14" s="1"/>
  <c r="D102" i="10"/>
  <c r="E102" i="10" s="1"/>
  <c r="G102" i="10" s="1"/>
  <c r="H15" i="18"/>
  <c r="H17" i="21"/>
  <c r="H19" i="8"/>
  <c r="G17" i="21"/>
  <c r="H19" i="26"/>
  <c r="Q25" i="6"/>
  <c r="D106" i="25"/>
  <c r="E106" i="25" s="1"/>
  <c r="G106" i="25" s="1"/>
  <c r="C54" i="25" s="1"/>
  <c r="E54" i="25" s="1"/>
  <c r="H17" i="7"/>
  <c r="H19" i="20"/>
  <c r="G19" i="8"/>
  <c r="H19" i="24"/>
  <c r="C65" i="13"/>
  <c r="Q11" i="6"/>
  <c r="Q19" i="6"/>
  <c r="G17" i="7"/>
  <c r="H17" i="23"/>
  <c r="G19" i="20"/>
  <c r="F19" i="8"/>
  <c r="G19" i="24"/>
  <c r="C104" i="7"/>
  <c r="C121" i="7" s="1"/>
  <c r="C65" i="15"/>
  <c r="Q24" i="6"/>
  <c r="Q18" i="6"/>
  <c r="C23" i="29"/>
  <c r="G16" i="30" s="1"/>
  <c r="F19" i="25"/>
  <c r="F19" i="20"/>
  <c r="H19" i="9"/>
  <c r="F19" i="24"/>
  <c r="C65" i="23"/>
  <c r="Q10" i="6"/>
  <c r="C22" i="29"/>
  <c r="G15" i="30" s="1"/>
  <c r="C104" i="23"/>
  <c r="C121" i="23" s="1"/>
  <c r="C104" i="26"/>
  <c r="E37" i="15"/>
  <c r="G43" i="27"/>
  <c r="I31" i="27"/>
  <c r="G48" i="27"/>
  <c r="I28" i="6"/>
  <c r="E41" i="25"/>
  <c r="D41" i="25" s="1"/>
  <c r="E25" i="23"/>
  <c r="D25" i="23" s="1"/>
  <c r="E21" i="34"/>
  <c r="E39" i="23"/>
  <c r="E38" i="22"/>
  <c r="D38" i="22" s="1"/>
  <c r="E38" i="21"/>
  <c r="D38" i="21" s="1"/>
  <c r="E19" i="34"/>
  <c r="E40" i="21"/>
  <c r="E41" i="13"/>
  <c r="D41" i="13" s="1"/>
  <c r="E40" i="13"/>
  <c r="D40" i="13" s="1"/>
  <c r="E17" i="34"/>
  <c r="E41" i="11"/>
  <c r="D41" i="11" s="1"/>
  <c r="E40" i="11"/>
  <c r="D40" i="11" s="1"/>
  <c r="H27" i="9"/>
  <c r="E42" i="9"/>
  <c r="D42" i="9" s="1"/>
  <c r="H28" i="8"/>
  <c r="E13" i="34"/>
  <c r="E37" i="16"/>
  <c r="G25" i="16"/>
  <c r="E11" i="34"/>
  <c r="G28" i="15"/>
  <c r="E40" i="15"/>
  <c r="D40" i="15" s="1"/>
  <c r="E9" i="34"/>
  <c r="F23" i="19"/>
  <c r="H23" i="19"/>
  <c r="E40" i="19"/>
  <c r="D40" i="19" s="1"/>
  <c r="H25" i="20"/>
  <c r="E41" i="20"/>
  <c r="D41" i="20" s="1"/>
  <c r="E6" i="34"/>
  <c r="H25" i="14"/>
  <c r="E25" i="14"/>
  <c r="D25" i="14" s="1"/>
  <c r="E41" i="14"/>
  <c r="E25" i="5"/>
  <c r="D25" i="5" s="1"/>
  <c r="D21" i="26"/>
  <c r="F21" i="26"/>
  <c r="G21" i="26"/>
  <c r="H21" i="26"/>
  <c r="D21" i="10"/>
  <c r="F21" i="10"/>
  <c r="R9" i="6"/>
  <c r="S9" i="6"/>
  <c r="H48" i="14" s="1"/>
  <c r="F19" i="14"/>
  <c r="G19" i="14"/>
  <c r="O19" i="14" s="1"/>
  <c r="D78" i="20"/>
  <c r="C9" i="20" s="1"/>
  <c r="E9" i="20" s="1"/>
  <c r="H9" i="20" s="1"/>
  <c r="C117" i="10"/>
  <c r="D117" i="10" s="1"/>
  <c r="E117" i="10" s="1"/>
  <c r="B121" i="10"/>
  <c r="F117" i="10"/>
  <c r="C117" i="26"/>
  <c r="D117" i="26" s="1"/>
  <c r="E117" i="26" s="1"/>
  <c r="F117" i="26"/>
  <c r="R21" i="6"/>
  <c r="S21" i="6"/>
  <c r="R13" i="6"/>
  <c r="S13" i="6"/>
  <c r="G48" i="15" s="1"/>
  <c r="D19" i="21"/>
  <c r="F19" i="21"/>
  <c r="H19" i="21"/>
  <c r="D17" i="11"/>
  <c r="F17" i="11"/>
  <c r="N17" i="11" s="1"/>
  <c r="H17" i="11"/>
  <c r="F17" i="19"/>
  <c r="N17" i="19" s="1"/>
  <c r="G17" i="19"/>
  <c r="H17" i="19"/>
  <c r="C22" i="13"/>
  <c r="L92" i="49" s="1"/>
  <c r="Q21" i="6"/>
  <c r="G19" i="21"/>
  <c r="D76" i="24"/>
  <c r="C8" i="24" s="1"/>
  <c r="D76" i="14"/>
  <c r="C8" i="14" s="1"/>
  <c r="E8" i="14" s="1"/>
  <c r="F8" i="14" s="1"/>
  <c r="R25" i="6"/>
  <c r="S25" i="6"/>
  <c r="F48" i="24" s="1"/>
  <c r="R17" i="6"/>
  <c r="S17" i="6"/>
  <c r="G48" i="8" s="1"/>
  <c r="BL47" i="27"/>
  <c r="BL48" i="27"/>
  <c r="K48" i="27" s="1"/>
  <c r="BL46" i="27"/>
  <c r="BL49" i="27"/>
  <c r="K49" i="27" s="1"/>
  <c r="BL52" i="27"/>
  <c r="K52" i="27" s="1"/>
  <c r="BL50" i="27"/>
  <c r="K50" i="27" s="1"/>
  <c r="BL29" i="27"/>
  <c r="BL34" i="27" s="1"/>
  <c r="K34" i="27" s="1"/>
  <c r="BL45" i="27"/>
  <c r="K45" i="27" s="1"/>
  <c r="BL43" i="27"/>
  <c r="K43" i="27" s="1"/>
  <c r="G27" i="16"/>
  <c r="E27" i="16"/>
  <c r="D27" i="16" s="1"/>
  <c r="BO51" i="27"/>
  <c r="BO50" i="27"/>
  <c r="N50" i="27" s="1"/>
  <c r="BO48" i="27"/>
  <c r="N48" i="27" s="1"/>
  <c r="BO43" i="27"/>
  <c r="BO42" i="27"/>
  <c r="N42" i="27" s="1"/>
  <c r="BO47" i="27"/>
  <c r="N47" i="27" s="1"/>
  <c r="G22" i="33"/>
  <c r="G20" i="33"/>
  <c r="G21" i="33"/>
  <c r="G25" i="33"/>
  <c r="G15" i="33"/>
  <c r="I15" i="33" s="1"/>
  <c r="X18" i="27" s="1"/>
  <c r="G16" i="33"/>
  <c r="G14" i="33"/>
  <c r="G18" i="33"/>
  <c r="D23" i="26"/>
  <c r="BN56" i="27"/>
  <c r="D110" i="5"/>
  <c r="E110" i="5" s="1"/>
  <c r="G110" i="5" s="1"/>
  <c r="E37" i="8"/>
  <c r="E37" i="11"/>
  <c r="E28" i="24"/>
  <c r="D28" i="24" s="1"/>
  <c r="E28" i="16"/>
  <c r="D28" i="16" s="1"/>
  <c r="E63" i="25"/>
  <c r="C65" i="25"/>
  <c r="E63" i="20"/>
  <c r="D63" i="20" s="1"/>
  <c r="E15" i="34"/>
  <c r="E7" i="34"/>
  <c r="G18" i="34"/>
  <c r="G10" i="34"/>
  <c r="E35" i="15"/>
  <c r="D78" i="14"/>
  <c r="C9" i="14" s="1"/>
  <c r="E10" i="12"/>
  <c r="H10" i="12" s="1"/>
  <c r="E10" i="7"/>
  <c r="H10" i="7" s="1"/>
  <c r="E10" i="23"/>
  <c r="F10" i="23" s="1"/>
  <c r="E10" i="14"/>
  <c r="E10" i="8"/>
  <c r="F10" i="8" s="1"/>
  <c r="E10" i="24"/>
  <c r="H10" i="24" s="1"/>
  <c r="E10" i="18"/>
  <c r="H10" i="18" s="1"/>
  <c r="E10" i="11"/>
  <c r="H10" i="11" s="1"/>
  <c r="E10" i="15"/>
  <c r="F10" i="15" s="1"/>
  <c r="E10" i="13"/>
  <c r="F10" i="13" s="1"/>
  <c r="E10" i="26"/>
  <c r="E10" i="9"/>
  <c r="E10" i="10"/>
  <c r="E10" i="20"/>
  <c r="F10" i="20" s="1"/>
  <c r="E10" i="25"/>
  <c r="C129" i="16"/>
  <c r="C26" i="16" s="1"/>
  <c r="C129" i="22"/>
  <c r="C26" i="22" s="1"/>
  <c r="H26" i="22" s="1"/>
  <c r="C129" i="7"/>
  <c r="C26" i="7" s="1"/>
  <c r="F26" i="7" s="1"/>
  <c r="C129" i="23"/>
  <c r="C26" i="23" s="1"/>
  <c r="H26" i="23" s="1"/>
  <c r="C129" i="5"/>
  <c r="C26" i="5" s="1"/>
  <c r="H26" i="5" s="1"/>
  <c r="C129" i="19"/>
  <c r="C26" i="19" s="1"/>
  <c r="F26" i="19" s="1"/>
  <c r="C129" i="10"/>
  <c r="C26" i="10" s="1"/>
  <c r="F26" i="10" s="1"/>
  <c r="C129" i="26"/>
  <c r="C26" i="26" s="1"/>
  <c r="F26" i="26" s="1"/>
  <c r="C129" i="18"/>
  <c r="C26" i="18" s="1"/>
  <c r="C129" i="11"/>
  <c r="C26" i="11" s="1"/>
  <c r="G26" i="11" s="1"/>
  <c r="C129" i="14"/>
  <c r="C26" i="14" s="1"/>
  <c r="F26" i="14" s="1"/>
  <c r="C129" i="24"/>
  <c r="C26" i="24" s="1"/>
  <c r="F26" i="24" s="1"/>
  <c r="C129" i="20"/>
  <c r="C26" i="20" s="1"/>
  <c r="F26" i="20" s="1"/>
  <c r="C129" i="25"/>
  <c r="C26" i="25" s="1"/>
  <c r="G26" i="25" s="1"/>
  <c r="C129" i="8"/>
  <c r="C26" i="8" s="1"/>
  <c r="F26" i="8" s="1"/>
  <c r="I113" i="6"/>
  <c r="C117" i="5"/>
  <c r="D117" i="5" s="1"/>
  <c r="E117" i="5" s="1"/>
  <c r="F117" i="5"/>
  <c r="B121" i="26"/>
  <c r="BM47" i="27"/>
  <c r="L47" i="27" s="1"/>
  <c r="D78" i="21"/>
  <c r="C9" i="21" s="1"/>
  <c r="D78" i="17"/>
  <c r="C9" i="17" s="1"/>
  <c r="E9" i="17" s="1"/>
  <c r="H9" i="17" s="1"/>
  <c r="D23" i="10"/>
  <c r="D23" i="19"/>
  <c r="D78" i="13"/>
  <c r="C9" i="13" s="1"/>
  <c r="E9" i="13" s="1"/>
  <c r="F9" i="13" s="1"/>
  <c r="D78" i="15"/>
  <c r="C9" i="15" s="1"/>
  <c r="E9" i="15" s="1"/>
  <c r="F9" i="15" s="1"/>
  <c r="H197" i="5"/>
  <c r="C22" i="25"/>
  <c r="L97" i="49" s="1"/>
  <c r="Q26" i="6"/>
  <c r="F117" i="17"/>
  <c r="C117" i="17"/>
  <c r="F117" i="11"/>
  <c r="C117" i="11"/>
  <c r="D117" i="11" s="1"/>
  <c r="E117" i="11" s="1"/>
  <c r="BL55" i="27"/>
  <c r="BL56" i="27"/>
  <c r="K56" i="27" s="1"/>
  <c r="C65" i="9"/>
  <c r="D110" i="11"/>
  <c r="E110" i="11" s="1"/>
  <c r="G110" i="11" s="1"/>
  <c r="C56" i="11" s="1"/>
  <c r="E56" i="11" s="1"/>
  <c r="D110" i="7"/>
  <c r="E110" i="7" s="1"/>
  <c r="G110" i="7" s="1"/>
  <c r="C56" i="7" s="1"/>
  <c r="E56" i="7" s="1"/>
  <c r="D110" i="18"/>
  <c r="E110" i="18" s="1"/>
  <c r="G110" i="18" s="1"/>
  <c r="C56" i="18" s="1"/>
  <c r="E56" i="18" s="1"/>
  <c r="D101" i="17"/>
  <c r="E101" i="17" s="1"/>
  <c r="G101" i="17" s="1"/>
  <c r="E16" i="11"/>
  <c r="D16" i="11" s="1"/>
  <c r="P28" i="6"/>
  <c r="C22" i="5"/>
  <c r="L78" i="49" s="1"/>
  <c r="S22" i="6"/>
  <c r="G48" i="21" s="1"/>
  <c r="R22" i="6"/>
  <c r="S14" i="6"/>
  <c r="R14" i="6"/>
  <c r="E16" i="7"/>
  <c r="D16" i="7" s="1"/>
  <c r="C130" i="18"/>
  <c r="C27" i="18" s="1"/>
  <c r="F27" i="18" s="1"/>
  <c r="C130" i="11"/>
  <c r="C27" i="11" s="1"/>
  <c r="G27" i="11" s="1"/>
  <c r="C130" i="15"/>
  <c r="C27" i="15" s="1"/>
  <c r="F27" i="15" s="1"/>
  <c r="C130" i="13"/>
  <c r="C27" i="13" s="1"/>
  <c r="H27" i="13" s="1"/>
  <c r="C130" i="7"/>
  <c r="C27" i="7" s="1"/>
  <c r="F27" i="7" s="1"/>
  <c r="C130" i="23"/>
  <c r="C27" i="23" s="1"/>
  <c r="C130" i="14"/>
  <c r="C27" i="14" s="1"/>
  <c r="H27" i="14" s="1"/>
  <c r="C130" i="8"/>
  <c r="C27" i="8" s="1"/>
  <c r="F27" i="8" s="1"/>
  <c r="C130" i="24"/>
  <c r="C27" i="24" s="1"/>
  <c r="H27" i="24" s="1"/>
  <c r="E16" i="20"/>
  <c r="F16" i="20" s="1"/>
  <c r="F117" i="22"/>
  <c r="C117" i="22"/>
  <c r="D117" i="22" s="1"/>
  <c r="E117" i="22" s="1"/>
  <c r="F104" i="5"/>
  <c r="B66" i="31"/>
  <c r="B67" i="31"/>
  <c r="D110" i="21"/>
  <c r="E110" i="21" s="1"/>
  <c r="G110" i="21" s="1"/>
  <c r="C56" i="21" s="1"/>
  <c r="E56" i="21" s="1"/>
  <c r="D56" i="21" s="1"/>
  <c r="D110" i="9"/>
  <c r="E110" i="9" s="1"/>
  <c r="G110" i="9" s="1"/>
  <c r="C56" i="9" s="1"/>
  <c r="E56" i="9" s="1"/>
  <c r="D56" i="9" s="1"/>
  <c r="D110" i="17"/>
  <c r="E110" i="17" s="1"/>
  <c r="G110" i="17" s="1"/>
  <c r="C56" i="17" s="1"/>
  <c r="E56" i="17" s="1"/>
  <c r="D110" i="20"/>
  <c r="E110" i="20" s="1"/>
  <c r="G110" i="20" s="1"/>
  <c r="C56" i="20" s="1"/>
  <c r="E56" i="20" s="1"/>
  <c r="D56" i="20" s="1"/>
  <c r="E16" i="25"/>
  <c r="D16" i="25" s="1"/>
  <c r="F42" i="27"/>
  <c r="G42" i="27"/>
  <c r="G49" i="27"/>
  <c r="I48" i="27"/>
  <c r="I43" i="27"/>
  <c r="F41" i="27"/>
  <c r="H55" i="27"/>
  <c r="D119" i="21"/>
  <c r="E119" i="21" s="1"/>
  <c r="G119" i="21" s="1"/>
  <c r="C59" i="21" s="1"/>
  <c r="E59" i="21" s="1"/>
  <c r="D119" i="9"/>
  <c r="E119" i="9" s="1"/>
  <c r="G119" i="9" s="1"/>
  <c r="C59" i="9" s="1"/>
  <c r="E59" i="9" s="1"/>
  <c r="D119" i="17"/>
  <c r="E119" i="17" s="1"/>
  <c r="G119" i="17" s="1"/>
  <c r="C59" i="17" s="1"/>
  <c r="E59" i="17" s="1"/>
  <c r="D59" i="17" s="1"/>
  <c r="D119" i="20"/>
  <c r="E119" i="20" s="1"/>
  <c r="G119" i="20" s="1"/>
  <c r="C59" i="20" s="1"/>
  <c r="E59" i="20" s="1"/>
  <c r="D110" i="22"/>
  <c r="E110" i="22" s="1"/>
  <c r="G110" i="22" s="1"/>
  <c r="C56" i="22" s="1"/>
  <c r="E56" i="22" s="1"/>
  <c r="D110" i="10"/>
  <c r="E110" i="10" s="1"/>
  <c r="G110" i="10" s="1"/>
  <c r="C56" i="10" s="1"/>
  <c r="E56" i="10" s="1"/>
  <c r="D110" i="16"/>
  <c r="E110" i="16" s="1"/>
  <c r="G110" i="16" s="1"/>
  <c r="C56" i="16" s="1"/>
  <c r="E56" i="16" s="1"/>
  <c r="D110" i="19"/>
  <c r="E110" i="19" s="1"/>
  <c r="G110" i="19" s="1"/>
  <c r="C56" i="19" s="1"/>
  <c r="E56" i="19" s="1"/>
  <c r="D106" i="13"/>
  <c r="E106" i="13" s="1"/>
  <c r="G106" i="13" s="1"/>
  <c r="C54" i="13" s="1"/>
  <c r="E54" i="13" s="1"/>
  <c r="D106" i="8"/>
  <c r="E106" i="8" s="1"/>
  <c r="G106" i="8" s="1"/>
  <c r="C54" i="8" s="1"/>
  <c r="E54" i="8" s="1"/>
  <c r="D106" i="15"/>
  <c r="E106" i="15" s="1"/>
  <c r="G106" i="15" s="1"/>
  <c r="C54" i="15" s="1"/>
  <c r="D106" i="14"/>
  <c r="E106" i="14" s="1"/>
  <c r="G106" i="14" s="1"/>
  <c r="C54" i="14" s="1"/>
  <c r="E54" i="14" s="1"/>
  <c r="D100" i="17"/>
  <c r="E100" i="17" s="1"/>
  <c r="D100" i="18"/>
  <c r="D100" i="20"/>
  <c r="E100" i="20" s="1"/>
  <c r="E21" i="21"/>
  <c r="E21" i="17"/>
  <c r="E18" i="22"/>
  <c r="F18" i="22" s="1"/>
  <c r="E18" i="16"/>
  <c r="D18" i="16" s="1"/>
  <c r="E16" i="10"/>
  <c r="D16" i="10" s="1"/>
  <c r="E16" i="19"/>
  <c r="F16" i="19" s="1"/>
  <c r="E8" i="26"/>
  <c r="F8" i="26" s="1"/>
  <c r="E8" i="10"/>
  <c r="G8" i="10" s="1"/>
  <c r="E8" i="19"/>
  <c r="F8" i="19" s="1"/>
  <c r="N20" i="27"/>
  <c r="M32" i="27"/>
  <c r="K15" i="27"/>
  <c r="F104" i="12"/>
  <c r="F121" i="12" s="1"/>
  <c r="C104" i="25"/>
  <c r="C121" i="25" s="1"/>
  <c r="S24" i="6"/>
  <c r="F48" i="23" s="1"/>
  <c r="R24" i="6"/>
  <c r="S16" i="6"/>
  <c r="G48" i="7" s="1"/>
  <c r="R16" i="6"/>
  <c r="S8" i="6"/>
  <c r="E48" i="12" s="1"/>
  <c r="R8" i="6"/>
  <c r="E25" i="21"/>
  <c r="D25" i="21" s="1"/>
  <c r="E25" i="17"/>
  <c r="D25" i="17" s="1"/>
  <c r="E21" i="13"/>
  <c r="E21" i="15"/>
  <c r="E18" i="21"/>
  <c r="D18" i="21" s="1"/>
  <c r="E18" i="17"/>
  <c r="D18" i="17" s="1"/>
  <c r="E8" i="25"/>
  <c r="F8" i="25" s="1"/>
  <c r="E8" i="9"/>
  <c r="G8" i="9" s="1"/>
  <c r="E8" i="20"/>
  <c r="H8" i="20" s="1"/>
  <c r="F104" i="25"/>
  <c r="F121" i="25" s="1"/>
  <c r="R23" i="6"/>
  <c r="S23" i="6"/>
  <c r="R15" i="6"/>
  <c r="S15" i="6"/>
  <c r="G48" i="16" s="1"/>
  <c r="D119" i="11"/>
  <c r="E119" i="11" s="1"/>
  <c r="G119" i="11" s="1"/>
  <c r="C59" i="11" s="1"/>
  <c r="E59" i="11" s="1"/>
  <c r="D119" i="7"/>
  <c r="E119" i="7" s="1"/>
  <c r="G119" i="7" s="1"/>
  <c r="C59" i="7" s="1"/>
  <c r="E59" i="7" s="1"/>
  <c r="D119" i="18"/>
  <c r="E119" i="18" s="1"/>
  <c r="G119" i="18" s="1"/>
  <c r="C59" i="18" s="1"/>
  <c r="E59" i="18" s="1"/>
  <c r="D110" i="13"/>
  <c r="E110" i="13" s="1"/>
  <c r="G110" i="13" s="1"/>
  <c r="C56" i="13" s="1"/>
  <c r="E56" i="13" s="1"/>
  <c r="D110" i="8"/>
  <c r="E110" i="8" s="1"/>
  <c r="G110" i="8" s="1"/>
  <c r="C56" i="8" s="1"/>
  <c r="E56" i="8" s="1"/>
  <c r="D110" i="15"/>
  <c r="E110" i="15" s="1"/>
  <c r="G110" i="15" s="1"/>
  <c r="C56" i="15" s="1"/>
  <c r="E56" i="15" s="1"/>
  <c r="D110" i="14"/>
  <c r="E110" i="14" s="1"/>
  <c r="G110" i="14" s="1"/>
  <c r="C56" i="14" s="1"/>
  <c r="E56" i="14" s="1"/>
  <c r="F56" i="14" s="1"/>
  <c r="D106" i="22"/>
  <c r="E106" i="22" s="1"/>
  <c r="G106" i="22" s="1"/>
  <c r="C54" i="22" s="1"/>
  <c r="E54" i="22" s="1"/>
  <c r="G54" i="22" s="1"/>
  <c r="D106" i="10"/>
  <c r="E106" i="10" s="1"/>
  <c r="G106" i="10" s="1"/>
  <c r="C54" i="10" s="1"/>
  <c r="E54" i="10" s="1"/>
  <c r="G54" i="10" s="1"/>
  <c r="D106" i="16"/>
  <c r="E106" i="16" s="1"/>
  <c r="G106" i="16" s="1"/>
  <c r="C54" i="16" s="1"/>
  <c r="E54" i="16" s="1"/>
  <c r="D54" i="16" s="1"/>
  <c r="D106" i="19"/>
  <c r="E106" i="19" s="1"/>
  <c r="G106" i="19" s="1"/>
  <c r="C54" i="19" s="1"/>
  <c r="E54" i="19" s="1"/>
  <c r="H54" i="19" s="1"/>
  <c r="D100" i="22"/>
  <c r="E100" i="22" s="1"/>
  <c r="D100" i="15"/>
  <c r="D100" i="19"/>
  <c r="E100" i="19" s="1"/>
  <c r="E21" i="25"/>
  <c r="E21" i="20"/>
  <c r="E18" i="26"/>
  <c r="G18" i="26" s="1"/>
  <c r="E18" i="10"/>
  <c r="G18" i="10" s="1"/>
  <c r="E18" i="19"/>
  <c r="F18" i="19" s="1"/>
  <c r="E16" i="16"/>
  <c r="H16" i="16" s="1"/>
  <c r="E8" i="22"/>
  <c r="G8" i="22" s="1"/>
  <c r="E8" i="16"/>
  <c r="G8" i="16" s="1"/>
  <c r="E16" i="12"/>
  <c r="H16" i="12" s="1"/>
  <c r="M11" i="27"/>
  <c r="L14" i="27"/>
  <c r="K24" i="27"/>
  <c r="R7" i="6"/>
  <c r="S7" i="6"/>
  <c r="S20" i="6"/>
  <c r="R20" i="6"/>
  <c r="S12" i="6"/>
  <c r="F48" i="18" s="1"/>
  <c r="R12" i="6"/>
  <c r="E25" i="25"/>
  <c r="D25" i="25" s="1"/>
  <c r="E25" i="9"/>
  <c r="D25" i="9" s="1"/>
  <c r="E25" i="20"/>
  <c r="D25" i="20" s="1"/>
  <c r="E21" i="24"/>
  <c r="E21" i="8"/>
  <c r="E18" i="25"/>
  <c r="D18" i="25" s="1"/>
  <c r="E18" i="9"/>
  <c r="F18" i="9" s="1"/>
  <c r="E18" i="20"/>
  <c r="F18" i="20" s="1"/>
  <c r="E16" i="21"/>
  <c r="D16" i="21" s="1"/>
  <c r="E16" i="17"/>
  <c r="D16" i="17" s="1"/>
  <c r="E8" i="21"/>
  <c r="F8" i="21" s="1"/>
  <c r="E8" i="17"/>
  <c r="F8" i="17" s="1"/>
  <c r="C104" i="24"/>
  <c r="C121" i="24" s="1"/>
  <c r="R27" i="6"/>
  <c r="S27" i="6"/>
  <c r="G48" i="26" s="1"/>
  <c r="R19" i="6"/>
  <c r="S19" i="6"/>
  <c r="G48" i="10" s="1"/>
  <c r="R11" i="6"/>
  <c r="S11" i="6"/>
  <c r="H48" i="19" s="1"/>
  <c r="B121" i="23"/>
  <c r="S26" i="6"/>
  <c r="R26" i="6"/>
  <c r="S18" i="6"/>
  <c r="F48" i="9" s="1"/>
  <c r="R18" i="6"/>
  <c r="S10" i="6"/>
  <c r="G48" i="20" s="1"/>
  <c r="R10" i="6"/>
  <c r="F56" i="27"/>
  <c r="F50" i="27"/>
  <c r="F49" i="27"/>
  <c r="F48" i="27"/>
  <c r="F46" i="27"/>
  <c r="F43" i="27"/>
  <c r="G10" i="21"/>
  <c r="E20" i="5"/>
  <c r="E16" i="26"/>
  <c r="H16" i="26" s="1"/>
  <c r="E16" i="23"/>
  <c r="D16" i="23" s="1"/>
  <c r="E18" i="5"/>
  <c r="E15" i="5"/>
  <c r="E9" i="5"/>
  <c r="H9" i="5" s="1"/>
  <c r="E7" i="5"/>
  <c r="F7" i="5" s="1"/>
  <c r="D115" i="14"/>
  <c r="E115" i="14" s="1"/>
  <c r="G115" i="14" s="1"/>
  <c r="D97" i="20"/>
  <c r="E97" i="20" s="1"/>
  <c r="G97" i="20" s="1"/>
  <c r="D115" i="20"/>
  <c r="E115" i="20" s="1"/>
  <c r="G115" i="20" s="1"/>
  <c r="D115" i="19"/>
  <c r="E115" i="19" s="1"/>
  <c r="G115" i="19" s="1"/>
  <c r="D96" i="12"/>
  <c r="E96" i="12" s="1"/>
  <c r="G96" i="12" s="1"/>
  <c r="D95" i="5"/>
  <c r="E95" i="5" s="1"/>
  <c r="G95" i="5" s="1"/>
  <c r="D96" i="5"/>
  <c r="E96" i="5" s="1"/>
  <c r="G96" i="5" s="1"/>
  <c r="D101" i="5"/>
  <c r="E101" i="5" s="1"/>
  <c r="G101" i="5" s="1"/>
  <c r="D102" i="5"/>
  <c r="E102" i="5" s="1"/>
  <c r="G102" i="5" s="1"/>
  <c r="D103" i="5"/>
  <c r="E103" i="5" s="1"/>
  <c r="G103" i="5" s="1"/>
  <c r="D115" i="5"/>
  <c r="E115" i="5" s="1"/>
  <c r="G115" i="5" s="1"/>
  <c r="C57" i="5" s="1"/>
  <c r="E57" i="5" s="1"/>
  <c r="D119" i="5"/>
  <c r="E119" i="5" s="1"/>
  <c r="G119" i="5" s="1"/>
  <c r="D106" i="23"/>
  <c r="E106" i="23" s="1"/>
  <c r="G106" i="23" s="1"/>
  <c r="C54" i="23" s="1"/>
  <c r="E54" i="23" s="1"/>
  <c r="D108" i="23"/>
  <c r="E108" i="23" s="1"/>
  <c r="G108" i="23" s="1"/>
  <c r="C55" i="23" s="1"/>
  <c r="E55" i="23" s="1"/>
  <c r="H55" i="23" s="1"/>
  <c r="D110" i="23"/>
  <c r="E110" i="23" s="1"/>
  <c r="G110" i="23" s="1"/>
  <c r="D115" i="23"/>
  <c r="E115" i="23" s="1"/>
  <c r="G115" i="23" s="1"/>
  <c r="C57" i="23" s="1"/>
  <c r="E57" i="23" s="1"/>
  <c r="G57" i="23" s="1"/>
  <c r="D117" i="23"/>
  <c r="E117" i="23" s="1"/>
  <c r="D102" i="24"/>
  <c r="E102" i="24" s="1"/>
  <c r="G102" i="24" s="1"/>
  <c r="D119" i="24"/>
  <c r="E119" i="24" s="1"/>
  <c r="G119" i="24" s="1"/>
  <c r="C59" i="24" s="1"/>
  <c r="E59" i="24" s="1"/>
  <c r="D117" i="25"/>
  <c r="E117" i="25" s="1"/>
  <c r="G117" i="25" s="1"/>
  <c r="C58" i="25" s="1"/>
  <c r="E58" i="25" s="1"/>
  <c r="D106" i="26"/>
  <c r="E106" i="26" s="1"/>
  <c r="G106" i="26" s="1"/>
  <c r="C54" i="26" s="1"/>
  <c r="E54" i="26" s="1"/>
  <c r="H54" i="26" s="1"/>
  <c r="D108" i="26"/>
  <c r="E108" i="26" s="1"/>
  <c r="G108" i="26" s="1"/>
  <c r="C55" i="26" s="1"/>
  <c r="E55" i="26" s="1"/>
  <c r="D110" i="26"/>
  <c r="E110" i="26" s="1"/>
  <c r="G110" i="26" s="1"/>
  <c r="C56" i="26" s="1"/>
  <c r="E56" i="26" s="1"/>
  <c r="D115" i="26"/>
  <c r="E115" i="26" s="1"/>
  <c r="G115" i="26" s="1"/>
  <c r="C57" i="26" s="1"/>
  <c r="E57" i="26" s="1"/>
  <c r="H19" i="14"/>
  <c r="D97" i="19"/>
  <c r="E97" i="19" s="1"/>
  <c r="G97" i="19" s="1"/>
  <c r="D97" i="18"/>
  <c r="E97" i="18" s="1"/>
  <c r="G97" i="18" s="1"/>
  <c r="D115" i="18"/>
  <c r="E115" i="18" s="1"/>
  <c r="G115" i="18" s="1"/>
  <c r="C57" i="18" s="1"/>
  <c r="E57" i="18" s="1"/>
  <c r="D57" i="18" s="1"/>
  <c r="D97" i="15"/>
  <c r="E97" i="15" s="1"/>
  <c r="G97" i="15" s="1"/>
  <c r="D115" i="15"/>
  <c r="E115" i="15" s="1"/>
  <c r="G115" i="15" s="1"/>
  <c r="D97" i="17"/>
  <c r="E97" i="17" s="1"/>
  <c r="G97" i="17" s="1"/>
  <c r="D115" i="17"/>
  <c r="E115" i="17" s="1"/>
  <c r="G115" i="17" s="1"/>
  <c r="D97" i="16"/>
  <c r="E97" i="16" s="1"/>
  <c r="G97" i="16" s="1"/>
  <c r="D115" i="16"/>
  <c r="E115" i="16" s="1"/>
  <c r="G115" i="16" s="1"/>
  <c r="D97" i="7"/>
  <c r="E97" i="7" s="1"/>
  <c r="G97" i="7" s="1"/>
  <c r="D115" i="7"/>
  <c r="E115" i="7" s="1"/>
  <c r="G115" i="7" s="1"/>
  <c r="D97" i="8"/>
  <c r="E97" i="8" s="1"/>
  <c r="G97" i="8" s="1"/>
  <c r="D115" i="8"/>
  <c r="E115" i="8" s="1"/>
  <c r="G115" i="8" s="1"/>
  <c r="D97" i="9"/>
  <c r="E97" i="9" s="1"/>
  <c r="G97" i="9" s="1"/>
  <c r="C52" i="9" s="1"/>
  <c r="D115" i="9"/>
  <c r="E115" i="9" s="1"/>
  <c r="G115" i="9" s="1"/>
  <c r="D97" i="10"/>
  <c r="E97" i="10" s="1"/>
  <c r="G97" i="10" s="1"/>
  <c r="D115" i="10"/>
  <c r="E115" i="10" s="1"/>
  <c r="G115" i="10" s="1"/>
  <c r="D97" i="11"/>
  <c r="E97" i="11" s="1"/>
  <c r="G97" i="11" s="1"/>
  <c r="D115" i="11"/>
  <c r="E115" i="11" s="1"/>
  <c r="G115" i="11" s="1"/>
  <c r="C57" i="11" s="1"/>
  <c r="E57" i="11" s="1"/>
  <c r="D97" i="13"/>
  <c r="E97" i="13" s="1"/>
  <c r="G97" i="13" s="1"/>
  <c r="D115" i="13"/>
  <c r="E115" i="13" s="1"/>
  <c r="G115" i="13" s="1"/>
  <c r="D97" i="21"/>
  <c r="E97" i="21" s="1"/>
  <c r="G97" i="21" s="1"/>
  <c r="D102" i="21"/>
  <c r="D115" i="21"/>
  <c r="E115" i="21" s="1"/>
  <c r="G115" i="21" s="1"/>
  <c r="D97" i="22"/>
  <c r="E97" i="22" s="1"/>
  <c r="G97" i="22" s="1"/>
  <c r="D115" i="22"/>
  <c r="E115" i="22" s="1"/>
  <c r="G115" i="22" s="1"/>
  <c r="D95" i="12"/>
  <c r="E95" i="12" s="1"/>
  <c r="D100" i="12"/>
  <c r="E100" i="12" s="1"/>
  <c r="D101" i="12"/>
  <c r="E101" i="12" s="1"/>
  <c r="G101" i="12" s="1"/>
  <c r="D102" i="12"/>
  <c r="E102" i="12" s="1"/>
  <c r="G102" i="12" s="1"/>
  <c r="D103" i="12"/>
  <c r="E103" i="12" s="1"/>
  <c r="G103" i="12" s="1"/>
  <c r="D106" i="12"/>
  <c r="E106" i="12" s="1"/>
  <c r="G106" i="12" s="1"/>
  <c r="C54" i="12" s="1"/>
  <c r="E54" i="12" s="1"/>
  <c r="G54" i="12" s="1"/>
  <c r="D108" i="12"/>
  <c r="E108" i="12" s="1"/>
  <c r="G108" i="12" s="1"/>
  <c r="C55" i="12" s="1"/>
  <c r="D110" i="12"/>
  <c r="E110" i="12" s="1"/>
  <c r="G110" i="12" s="1"/>
  <c r="C56" i="12" s="1"/>
  <c r="E56" i="12" s="1"/>
  <c r="D119" i="12"/>
  <c r="E119" i="12" s="1"/>
  <c r="G119" i="12" s="1"/>
  <c r="C59" i="12" s="1"/>
  <c r="D97" i="12"/>
  <c r="E97" i="12" s="1"/>
  <c r="D115" i="12"/>
  <c r="E115" i="12" s="1"/>
  <c r="G115" i="12" s="1"/>
  <c r="D106" i="5"/>
  <c r="E106" i="5" s="1"/>
  <c r="G106" i="5" s="1"/>
  <c r="C55" i="5" s="1"/>
  <c r="D108" i="5"/>
  <c r="E108" i="5" s="1"/>
  <c r="G108" i="5" s="1"/>
  <c r="C56" i="5" s="1"/>
  <c r="D102" i="23"/>
  <c r="E102" i="23" s="1"/>
  <c r="G102" i="23" s="1"/>
  <c r="D119" i="23"/>
  <c r="E119" i="23" s="1"/>
  <c r="G119" i="23" s="1"/>
  <c r="C59" i="23" s="1"/>
  <c r="E59" i="23" s="1"/>
  <c r="D106" i="24"/>
  <c r="E106" i="24" s="1"/>
  <c r="G106" i="24" s="1"/>
  <c r="C54" i="24" s="1"/>
  <c r="E54" i="24" s="1"/>
  <c r="D108" i="24"/>
  <c r="E108" i="24" s="1"/>
  <c r="G108" i="24" s="1"/>
  <c r="C55" i="24" s="1"/>
  <c r="E55" i="24" s="1"/>
  <c r="D110" i="24"/>
  <c r="E110" i="24" s="1"/>
  <c r="G110" i="24" s="1"/>
  <c r="C56" i="24" s="1"/>
  <c r="E56" i="24" s="1"/>
  <c r="D115" i="24"/>
  <c r="E115" i="24" s="1"/>
  <c r="G115" i="24" s="1"/>
  <c r="C57" i="24" s="1"/>
  <c r="D117" i="24"/>
  <c r="E117" i="24" s="1"/>
  <c r="D102" i="25"/>
  <c r="E102" i="25" s="1"/>
  <c r="G102" i="25" s="1"/>
  <c r="D108" i="25"/>
  <c r="E108" i="25" s="1"/>
  <c r="G108" i="25" s="1"/>
  <c r="C55" i="25" s="1"/>
  <c r="E55" i="25" s="1"/>
  <c r="D110" i="25"/>
  <c r="E110" i="25" s="1"/>
  <c r="G110" i="25" s="1"/>
  <c r="C56" i="25" s="1"/>
  <c r="E56" i="25" s="1"/>
  <c r="G56" i="25" s="1"/>
  <c r="D115" i="25"/>
  <c r="E115" i="25" s="1"/>
  <c r="G115" i="25" s="1"/>
  <c r="C57" i="25" s="1"/>
  <c r="E57" i="25" s="1"/>
  <c r="D119" i="25"/>
  <c r="E119" i="25" s="1"/>
  <c r="G119" i="25" s="1"/>
  <c r="C59" i="25" s="1"/>
  <c r="E59" i="25" s="1"/>
  <c r="D97" i="26"/>
  <c r="E97" i="26" s="1"/>
  <c r="G97" i="26" s="1"/>
  <c r="D102" i="26"/>
  <c r="E102" i="26" s="1"/>
  <c r="G102" i="26" s="1"/>
  <c r="C65" i="26"/>
  <c r="C65" i="11"/>
  <c r="C65" i="17"/>
  <c r="E64" i="18"/>
  <c r="D64" i="18" s="1"/>
  <c r="C65" i="18"/>
  <c r="E64" i="5"/>
  <c r="C65" i="5"/>
  <c r="E64" i="12"/>
  <c r="D64" i="12" s="1"/>
  <c r="E35" i="5"/>
  <c r="D35" i="5" s="1"/>
  <c r="G4" i="34"/>
  <c r="E60" i="16"/>
  <c r="N17" i="20"/>
  <c r="N17" i="7"/>
  <c r="N17" i="9"/>
  <c r="N17" i="21"/>
  <c r="N17" i="25"/>
  <c r="C140" i="9"/>
  <c r="B31" i="12"/>
  <c r="M41" i="27"/>
  <c r="N31" i="27"/>
  <c r="M30" i="27"/>
  <c r="M24" i="27"/>
  <c r="M19" i="27"/>
  <c r="M15" i="27"/>
  <c r="M8" i="27"/>
  <c r="L25" i="27"/>
  <c r="L20" i="27"/>
  <c r="L10" i="27"/>
  <c r="K8" i="27"/>
  <c r="E23" i="5"/>
  <c r="E60" i="26"/>
  <c r="E60" i="24"/>
  <c r="D60" i="24" s="1"/>
  <c r="G25" i="26"/>
  <c r="E25" i="26"/>
  <c r="D25" i="26" s="1"/>
  <c r="H25" i="26"/>
  <c r="G25" i="24"/>
  <c r="H25" i="24"/>
  <c r="G25" i="11"/>
  <c r="E25" i="11"/>
  <c r="D25" i="11" s="1"/>
  <c r="H25" i="11"/>
  <c r="G25" i="15"/>
  <c r="H25" i="15"/>
  <c r="G25" i="19"/>
  <c r="E25" i="19"/>
  <c r="D25" i="19" s="1"/>
  <c r="H25" i="19"/>
  <c r="E60" i="25"/>
  <c r="G25" i="13"/>
  <c r="H25" i="13"/>
  <c r="E25" i="10"/>
  <c r="D25" i="10" s="1"/>
  <c r="H25" i="10"/>
  <c r="G25" i="10"/>
  <c r="G25" i="8"/>
  <c r="H25" i="8"/>
  <c r="H25" i="18"/>
  <c r="G25" i="18"/>
  <c r="E25" i="18"/>
  <c r="D25" i="18" s="1"/>
  <c r="D17" i="15"/>
  <c r="G17" i="15"/>
  <c r="F17" i="15"/>
  <c r="N17" i="15" s="1"/>
  <c r="H17" i="15"/>
  <c r="E64" i="17"/>
  <c r="D64" i="17" s="1"/>
  <c r="C43" i="29"/>
  <c r="E4" i="34"/>
  <c r="D17" i="13"/>
  <c r="G17" i="13"/>
  <c r="F17" i="13"/>
  <c r="N17" i="13" s="1"/>
  <c r="H17" i="13"/>
  <c r="H6" i="17"/>
  <c r="F6" i="17"/>
  <c r="H9" i="11"/>
  <c r="G9" i="11"/>
  <c r="E64" i="11"/>
  <c r="D64" i="11" s="1"/>
  <c r="C104" i="12"/>
  <c r="D100" i="26"/>
  <c r="D97" i="25"/>
  <c r="D100" i="25"/>
  <c r="D97" i="24"/>
  <c r="F117" i="24"/>
  <c r="D100" i="24"/>
  <c r="D97" i="23"/>
  <c r="F117" i="23"/>
  <c r="D100" i="23"/>
  <c r="D97" i="5"/>
  <c r="D100" i="5"/>
  <c r="E41" i="5"/>
  <c r="D41" i="5" s="1"/>
  <c r="C26" i="29"/>
  <c r="G19" i="30" s="1"/>
  <c r="E41" i="12"/>
  <c r="C44" i="29"/>
  <c r="C42" i="29"/>
  <c r="E39" i="12"/>
  <c r="C40" i="29"/>
  <c r="E37" i="12"/>
  <c r="E5" i="34"/>
  <c r="E28" i="12"/>
  <c r="D28" i="12" s="1"/>
  <c r="H28" i="12"/>
  <c r="C31" i="29"/>
  <c r="G24" i="30" s="1"/>
  <c r="G28" i="12"/>
  <c r="E26" i="12"/>
  <c r="D26" i="12" s="1"/>
  <c r="H26" i="12"/>
  <c r="C45" i="29"/>
  <c r="E42" i="12"/>
  <c r="C41" i="29"/>
  <c r="E38" i="12"/>
  <c r="D38" i="12" s="1"/>
  <c r="G5" i="34"/>
  <c r="C38" i="29"/>
  <c r="G29" i="30" s="1"/>
  <c r="E35" i="12"/>
  <c r="E63" i="23"/>
  <c r="E63" i="11"/>
  <c r="AB28" i="6"/>
  <c r="E63" i="7"/>
  <c r="E63" i="18"/>
  <c r="E63" i="12"/>
  <c r="C65" i="12"/>
  <c r="E60" i="22"/>
  <c r="E25" i="22"/>
  <c r="D25" i="22" s="1"/>
  <c r="G25" i="22"/>
  <c r="C104" i="17"/>
  <c r="C97" i="14"/>
  <c r="D97" i="14" s="1"/>
  <c r="E97" i="14" s="1"/>
  <c r="G97" i="14" s="1"/>
  <c r="C52" i="14" s="1"/>
  <c r="E60" i="12"/>
  <c r="E20" i="12"/>
  <c r="F20" i="12" s="1"/>
  <c r="E18" i="12"/>
  <c r="G18" i="12" s="1"/>
  <c r="C21" i="29"/>
  <c r="G14" i="30" s="1"/>
  <c r="G15" i="26"/>
  <c r="B121" i="22"/>
  <c r="F104" i="13"/>
  <c r="F9" i="11"/>
  <c r="F104" i="10"/>
  <c r="G21" i="10"/>
  <c r="H25" i="7"/>
  <c r="E25" i="7"/>
  <c r="D25" i="7" s="1"/>
  <c r="C28" i="29"/>
  <c r="G21" i="30" s="1"/>
  <c r="E60" i="7"/>
  <c r="H9" i="7"/>
  <c r="F9" i="7"/>
  <c r="G9" i="7"/>
  <c r="E15" i="19"/>
  <c r="C18" i="29"/>
  <c r="G11" i="30" s="1"/>
  <c r="F104" i="14"/>
  <c r="F121" i="14" s="1"/>
  <c r="F17" i="14"/>
  <c r="N17" i="14" s="1"/>
  <c r="H17" i="14"/>
  <c r="G17" i="14"/>
  <c r="D17" i="14"/>
  <c r="C58" i="5"/>
  <c r="E58" i="5" s="1"/>
  <c r="E21" i="5"/>
  <c r="D21" i="5" s="1"/>
  <c r="C24" i="29"/>
  <c r="G17" i="30" s="1"/>
  <c r="E16" i="5"/>
  <c r="C19" i="29"/>
  <c r="G12" i="30" s="1"/>
  <c r="H14" i="33"/>
  <c r="H23" i="33"/>
  <c r="I23" i="33" s="1"/>
  <c r="H25" i="33"/>
  <c r="H20" i="33"/>
  <c r="I20" i="33" s="1"/>
  <c r="H19" i="33"/>
  <c r="I19" i="33" s="1"/>
  <c r="H24" i="33"/>
  <c r="I24" i="33" s="1"/>
  <c r="H22" i="33"/>
  <c r="C104" i="15"/>
  <c r="C121" i="15" s="1"/>
  <c r="BM55" i="27"/>
  <c r="L55" i="27" s="1"/>
  <c r="BM56" i="27"/>
  <c r="L56" i="27" s="1"/>
  <c r="H21" i="33"/>
  <c r="H18" i="33"/>
  <c r="I18" i="33" s="1"/>
  <c r="H17" i="33"/>
  <c r="I17" i="33" s="1"/>
  <c r="H16" i="33"/>
  <c r="E14" i="33"/>
  <c r="F14" i="33" s="1"/>
  <c r="E21" i="33"/>
  <c r="E22" i="33"/>
  <c r="E23" i="33"/>
  <c r="F23" i="33" s="1"/>
  <c r="E20" i="33"/>
  <c r="F20" i="33" s="1"/>
  <c r="E16" i="33"/>
  <c r="F16" i="33" s="1"/>
  <c r="E17" i="33"/>
  <c r="F17" i="33" s="1"/>
  <c r="E18" i="33"/>
  <c r="F18" i="33" s="1"/>
  <c r="E15" i="33"/>
  <c r="F15" i="33" s="1"/>
  <c r="E19" i="33"/>
  <c r="E25" i="33"/>
  <c r="F25" i="33" s="1"/>
  <c r="C104" i="22"/>
  <c r="C104" i="16"/>
  <c r="C121" i="16" s="1"/>
  <c r="BO29" i="27"/>
  <c r="BO34" i="27" s="1"/>
  <c r="BO45" i="27"/>
  <c r="N45" i="27" s="1"/>
  <c r="BO49" i="27"/>
  <c r="N49" i="27" s="1"/>
  <c r="BN29" i="27"/>
  <c r="BN34" i="27" s="1"/>
  <c r="BN45" i="27"/>
  <c r="BN49" i="27"/>
  <c r="M49" i="27" s="1"/>
  <c r="E64" i="22"/>
  <c r="D64" i="22" s="1"/>
  <c r="C65" i="22"/>
  <c r="E60" i="17"/>
  <c r="C63" i="29"/>
  <c r="G50" i="30" s="1"/>
  <c r="E63" i="26"/>
  <c r="D63" i="26" s="1"/>
  <c r="E63" i="24"/>
  <c r="E63" i="22"/>
  <c r="E63" i="10"/>
  <c r="D63" i="10" s="1"/>
  <c r="E63" i="8"/>
  <c r="E63" i="16"/>
  <c r="E63" i="19"/>
  <c r="D63" i="19" s="1"/>
  <c r="E63" i="14"/>
  <c r="E64" i="13"/>
  <c r="F8" i="27"/>
  <c r="F32" i="27"/>
  <c r="F35" i="27"/>
  <c r="F36" i="27"/>
  <c r="F37" i="27"/>
  <c r="F38" i="27"/>
  <c r="F39" i="27"/>
  <c r="G14" i="27"/>
  <c r="G15" i="27"/>
  <c r="G16" i="27"/>
  <c r="G17" i="27"/>
  <c r="G18" i="27"/>
  <c r="J19" i="5" s="1"/>
  <c r="G19" i="27"/>
  <c r="G20" i="27"/>
  <c r="G21" i="27"/>
  <c r="G24" i="27"/>
  <c r="G25" i="27"/>
  <c r="G26" i="27"/>
  <c r="G27" i="27"/>
  <c r="G30" i="27"/>
  <c r="G29" i="27"/>
  <c r="G32" i="27"/>
  <c r="G35" i="27"/>
  <c r="G36" i="27"/>
  <c r="G37" i="27"/>
  <c r="G38" i="27"/>
  <c r="G39" i="27"/>
  <c r="G46" i="27"/>
  <c r="G50" i="27"/>
  <c r="G56" i="27"/>
  <c r="H8" i="27"/>
  <c r="H9" i="27"/>
  <c r="H10" i="27"/>
  <c r="H11" i="27"/>
  <c r="H14" i="27"/>
  <c r="H15" i="27"/>
  <c r="H16" i="27"/>
  <c r="H17" i="27"/>
  <c r="H18" i="27"/>
  <c r="K19" i="5" s="1"/>
  <c r="H19" i="27"/>
  <c r="H20" i="27"/>
  <c r="H21" i="27"/>
  <c r="H24" i="27"/>
  <c r="H25" i="27"/>
  <c r="H26" i="27"/>
  <c r="H27" i="27"/>
  <c r="H30" i="27"/>
  <c r="H29" i="27"/>
  <c r="H32" i="27"/>
  <c r="H35" i="27"/>
  <c r="H36" i="27"/>
  <c r="H37" i="27"/>
  <c r="H38" i="27"/>
  <c r="H39" i="27"/>
  <c r="H46" i="27"/>
  <c r="H50" i="27"/>
  <c r="H56" i="27"/>
  <c r="I14" i="27"/>
  <c r="I15" i="27"/>
  <c r="I16" i="27"/>
  <c r="I17" i="27"/>
  <c r="I18" i="27"/>
  <c r="L19" i="5" s="1"/>
  <c r="I19" i="27"/>
  <c r="I20" i="27"/>
  <c r="I21" i="27"/>
  <c r="I24" i="27"/>
  <c r="I25" i="27"/>
  <c r="I26" i="27"/>
  <c r="I27" i="27"/>
  <c r="I30" i="27"/>
  <c r="I29" i="27"/>
  <c r="I32" i="27"/>
  <c r="I35" i="27"/>
  <c r="I36" i="27"/>
  <c r="I37" i="27"/>
  <c r="I38" i="27"/>
  <c r="I39" i="27"/>
  <c r="I46" i="27"/>
  <c r="I50" i="27"/>
  <c r="I56" i="27"/>
  <c r="G9" i="27"/>
  <c r="G11" i="27"/>
  <c r="G7" i="27"/>
  <c r="F12" i="27"/>
  <c r="G12" i="27"/>
  <c r="H12" i="27"/>
  <c r="I12" i="27"/>
  <c r="F31" i="27"/>
  <c r="H31" i="27"/>
  <c r="H41" i="27"/>
  <c r="I41" i="27"/>
  <c r="G55" i="27"/>
  <c r="I55" i="27"/>
  <c r="H42" i="27"/>
  <c r="H43" i="27"/>
  <c r="H48" i="27"/>
  <c r="H49" i="27"/>
  <c r="G8" i="27"/>
  <c r="H7" i="27"/>
  <c r="G31" i="27"/>
  <c r="G41" i="27"/>
  <c r="F104" i="22"/>
  <c r="F104" i="21"/>
  <c r="F121" i="21" s="1"/>
  <c r="F104" i="11"/>
  <c r="F104" i="8"/>
  <c r="F121" i="8" s="1"/>
  <c r="F104" i="7"/>
  <c r="F104" i="16"/>
  <c r="F121" i="16" s="1"/>
  <c r="F104" i="17"/>
  <c r="F104" i="15"/>
  <c r="F121" i="15" s="1"/>
  <c r="H10" i="17"/>
  <c r="D90" i="26"/>
  <c r="C13" i="26" s="1"/>
  <c r="D90" i="24"/>
  <c r="C13" i="24" s="1"/>
  <c r="D90" i="23"/>
  <c r="C13" i="23" s="1"/>
  <c r="D90" i="22"/>
  <c r="C13" i="22" s="1"/>
  <c r="E13" i="22" s="1"/>
  <c r="D90" i="13"/>
  <c r="C13" i="13" s="1"/>
  <c r="D17" i="25"/>
  <c r="D17" i="23"/>
  <c r="D17" i="7"/>
  <c r="D17" i="19"/>
  <c r="D17" i="21"/>
  <c r="D17" i="9"/>
  <c r="D15" i="18"/>
  <c r="D90" i="12"/>
  <c r="C13" i="12" s="1"/>
  <c r="G28" i="25"/>
  <c r="G28" i="23"/>
  <c r="H27" i="22"/>
  <c r="H28" i="13"/>
  <c r="G27" i="9"/>
  <c r="G28" i="9"/>
  <c r="G28" i="7"/>
  <c r="H27" i="16"/>
  <c r="H26" i="15"/>
  <c r="H28" i="15"/>
  <c r="G27" i="20"/>
  <c r="G28" i="20"/>
  <c r="G26" i="12"/>
  <c r="H28" i="5"/>
  <c r="H25" i="16"/>
  <c r="H25" i="22"/>
  <c r="H28" i="22"/>
  <c r="G25" i="7"/>
  <c r="H27" i="5"/>
  <c r="H25" i="5"/>
  <c r="H28" i="14"/>
  <c r="H28" i="24"/>
  <c r="G26" i="9"/>
  <c r="G27" i="21"/>
  <c r="H28" i="10"/>
  <c r="H28" i="16"/>
  <c r="H28" i="19"/>
  <c r="F28" i="26"/>
  <c r="F25" i="26"/>
  <c r="F28" i="25"/>
  <c r="F25" i="25"/>
  <c r="F28" i="24"/>
  <c r="F25" i="24"/>
  <c r="F25" i="23"/>
  <c r="F28" i="23"/>
  <c r="H25" i="23"/>
  <c r="F27" i="22"/>
  <c r="F28" i="22"/>
  <c r="F25" i="22"/>
  <c r="F27" i="21"/>
  <c r="F28" i="21"/>
  <c r="F25" i="21"/>
  <c r="F26" i="21"/>
  <c r="F28" i="13"/>
  <c r="F28" i="11"/>
  <c r="F25" i="11"/>
  <c r="F28" i="10"/>
  <c r="F25" i="10"/>
  <c r="F27" i="9"/>
  <c r="F28" i="9"/>
  <c r="F25" i="9"/>
  <c r="F28" i="8"/>
  <c r="F25" i="7"/>
  <c r="F28" i="7"/>
  <c r="F25" i="16"/>
  <c r="F28" i="16"/>
  <c r="F27" i="16"/>
  <c r="F28" i="17"/>
  <c r="F25" i="17"/>
  <c r="F26" i="17"/>
  <c r="F28" i="15"/>
  <c r="F26" i="15"/>
  <c r="F28" i="18"/>
  <c r="F25" i="18"/>
  <c r="F28" i="19"/>
  <c r="F25" i="19"/>
  <c r="F27" i="20"/>
  <c r="F28" i="20"/>
  <c r="F25" i="20"/>
  <c r="F28" i="14"/>
  <c r="F25" i="14"/>
  <c r="F26" i="12"/>
  <c r="F25" i="12"/>
  <c r="F28" i="12"/>
  <c r="E9" i="12"/>
  <c r="E46" i="26"/>
  <c r="E46" i="13"/>
  <c r="E46" i="16"/>
  <c r="E46" i="19"/>
  <c r="E46" i="14"/>
  <c r="C49" i="29"/>
  <c r="G38" i="30" s="1"/>
  <c r="E46" i="5"/>
  <c r="E46" i="9"/>
  <c r="E46" i="7"/>
  <c r="E46" i="17"/>
  <c r="E46" i="18"/>
  <c r="E46" i="20"/>
  <c r="H6" i="21"/>
  <c r="F6" i="21"/>
  <c r="E64" i="26"/>
  <c r="E64" i="10"/>
  <c r="E64" i="16"/>
  <c r="D64" i="16" s="1"/>
  <c r="C65" i="16"/>
  <c r="D100" i="13"/>
  <c r="C104" i="13"/>
  <c r="D100" i="10"/>
  <c r="C104" i="10"/>
  <c r="D100" i="9"/>
  <c r="C104" i="9"/>
  <c r="D100" i="8"/>
  <c r="C104" i="8"/>
  <c r="D100" i="14"/>
  <c r="C104" i="14"/>
  <c r="E46" i="25"/>
  <c r="E46" i="24"/>
  <c r="E46" i="23"/>
  <c r="E46" i="22"/>
  <c r="E46" i="21"/>
  <c r="E46" i="11"/>
  <c r="E46" i="10"/>
  <c r="E46" i="8"/>
  <c r="E46" i="15"/>
  <c r="F25" i="13"/>
  <c r="E25" i="13"/>
  <c r="D25" i="13" s="1"/>
  <c r="F25" i="8"/>
  <c r="E25" i="8"/>
  <c r="D25" i="8" s="1"/>
  <c r="F25" i="15"/>
  <c r="E25" i="15"/>
  <c r="D25" i="15" s="1"/>
  <c r="E25" i="12"/>
  <c r="G25" i="12"/>
  <c r="H25" i="12"/>
  <c r="E24" i="34"/>
  <c r="E22" i="34"/>
  <c r="E20" i="34"/>
  <c r="E18" i="34"/>
  <c r="E16" i="34"/>
  <c r="E14" i="34"/>
  <c r="E12" i="34"/>
  <c r="E10" i="34"/>
  <c r="E8" i="34"/>
  <c r="E23" i="34"/>
  <c r="E64" i="24"/>
  <c r="E64" i="9"/>
  <c r="F104" i="18"/>
  <c r="F121" i="18" s="1"/>
  <c r="F104" i="19"/>
  <c r="F121" i="19" s="1"/>
  <c r="F104" i="20"/>
  <c r="F121" i="20" s="1"/>
  <c r="D75" i="11"/>
  <c r="C7" i="11" s="1"/>
  <c r="E7" i="11" s="1"/>
  <c r="D75" i="18"/>
  <c r="C7" i="18" s="1"/>
  <c r="E7" i="18" s="1"/>
  <c r="F7" i="18" s="1"/>
  <c r="E25" i="24"/>
  <c r="D25" i="24" s="1"/>
  <c r="E22" i="14"/>
  <c r="E40" i="12"/>
  <c r="C59" i="5"/>
  <c r="E8" i="23"/>
  <c r="C11" i="23"/>
  <c r="C22" i="49" s="1"/>
  <c r="J95" i="49" s="1"/>
  <c r="F8" i="13"/>
  <c r="H8" i="13"/>
  <c r="G8" i="13"/>
  <c r="E7" i="10"/>
  <c r="C11" i="10"/>
  <c r="C17" i="49" s="1"/>
  <c r="J90" i="49" s="1"/>
  <c r="E7" i="12"/>
  <c r="E7" i="24"/>
  <c r="E7" i="21"/>
  <c r="E7" i="17"/>
  <c r="C11" i="26"/>
  <c r="C25" i="49" s="1"/>
  <c r="J98" i="49" s="1"/>
  <c r="E6" i="26"/>
  <c r="E6" i="22"/>
  <c r="G6" i="22" s="1"/>
  <c r="C11" i="22"/>
  <c r="C21" i="49" s="1"/>
  <c r="J94" i="49" s="1"/>
  <c r="E6" i="13"/>
  <c r="G6" i="13" s="1"/>
  <c r="E6" i="9"/>
  <c r="C11" i="9"/>
  <c r="C16" i="49" s="1"/>
  <c r="J89" i="49" s="1"/>
  <c r="E6" i="16"/>
  <c r="G6" i="16" s="1"/>
  <c r="C11" i="16"/>
  <c r="C13" i="49" s="1"/>
  <c r="J86" i="49" s="1"/>
  <c r="E6" i="18"/>
  <c r="F6" i="18" s="1"/>
  <c r="E6" i="19"/>
  <c r="G6" i="19" s="1"/>
  <c r="C11" i="19"/>
  <c r="C9" i="49" s="1"/>
  <c r="J82" i="49" s="1"/>
  <c r="E6" i="25"/>
  <c r="C11" i="25"/>
  <c r="C24" i="49" s="1"/>
  <c r="J97" i="49" s="1"/>
  <c r="E6" i="11"/>
  <c r="H6" i="11" s="1"/>
  <c r="E6" i="8"/>
  <c r="G6" i="8" s="1"/>
  <c r="C11" i="8"/>
  <c r="C15" i="49" s="1"/>
  <c r="J88" i="49" s="1"/>
  <c r="E6" i="7"/>
  <c r="F6" i="7" s="1"/>
  <c r="C11" i="7"/>
  <c r="C14" i="49" s="1"/>
  <c r="J87" i="49" s="1"/>
  <c r="E6" i="15"/>
  <c r="G6" i="15" s="1"/>
  <c r="E6" i="20"/>
  <c r="H6" i="20" s="1"/>
  <c r="E6" i="14"/>
  <c r="E6" i="12"/>
  <c r="C11" i="12"/>
  <c r="C6" i="49" s="1"/>
  <c r="C9" i="29"/>
  <c r="G4" i="30" s="1"/>
  <c r="E6" i="5"/>
  <c r="D90" i="11"/>
  <c r="C13" i="11" s="1"/>
  <c r="E13" i="11" s="1"/>
  <c r="D90" i="10"/>
  <c r="C13" i="10" s="1"/>
  <c r="E13" i="10" s="1"/>
  <c r="D90" i="8"/>
  <c r="C13" i="8" s="1"/>
  <c r="D90" i="7"/>
  <c r="C13" i="7" s="1"/>
  <c r="E13" i="7" s="1"/>
  <c r="D90" i="16"/>
  <c r="C13" i="16" s="1"/>
  <c r="E13" i="16" s="1"/>
  <c r="D90" i="15"/>
  <c r="C13" i="15" s="1"/>
  <c r="E13" i="15" s="1"/>
  <c r="D90" i="18"/>
  <c r="C13" i="18" s="1"/>
  <c r="D90" i="19"/>
  <c r="C13" i="19" s="1"/>
  <c r="E13" i="19" s="1"/>
  <c r="F9" i="22"/>
  <c r="G9" i="19"/>
  <c r="F9" i="19"/>
  <c r="H9" i="19"/>
  <c r="G9" i="23"/>
  <c r="F9" i="23"/>
  <c r="H9" i="23"/>
  <c r="F19" i="12"/>
  <c r="H19" i="12"/>
  <c r="G19" i="12"/>
  <c r="D19" i="12"/>
  <c r="G20" i="11"/>
  <c r="D20" i="11"/>
  <c r="F20" i="11"/>
  <c r="H20" i="11"/>
  <c r="D20" i="18"/>
  <c r="G20" i="18"/>
  <c r="F20" i="18"/>
  <c r="H20" i="18"/>
  <c r="G20" i="13"/>
  <c r="D16" i="13"/>
  <c r="G16" i="13"/>
  <c r="F16" i="13"/>
  <c r="H16" i="13"/>
  <c r="G8" i="15"/>
  <c r="F8" i="15"/>
  <c r="H8" i="15"/>
  <c r="D90" i="25"/>
  <c r="C13" i="25" s="1"/>
  <c r="D90" i="21"/>
  <c r="C13" i="21" s="1"/>
  <c r="C29" i="21" s="1"/>
  <c r="D20" i="49" s="1"/>
  <c r="E93" i="49" s="1"/>
  <c r="D90" i="9"/>
  <c r="C13" i="9" s="1"/>
  <c r="D90" i="17"/>
  <c r="C13" i="17" s="1"/>
  <c r="E13" i="17" s="1"/>
  <c r="D90" i="20"/>
  <c r="C13" i="20" s="1"/>
  <c r="D90" i="14"/>
  <c r="C13" i="14" s="1"/>
  <c r="D90" i="5"/>
  <c r="C13" i="5" s="1"/>
  <c r="G6" i="24"/>
  <c r="F6" i="24"/>
  <c r="H6" i="24"/>
  <c r="F6" i="10"/>
  <c r="H6" i="10"/>
  <c r="F6" i="23"/>
  <c r="H6" i="23"/>
  <c r="G6" i="23"/>
  <c r="G6" i="21"/>
  <c r="G6" i="17"/>
  <c r="E17" i="5"/>
  <c r="C20" i="29"/>
  <c r="G13" i="30" s="1"/>
  <c r="E8" i="5"/>
  <c r="C11" i="5"/>
  <c r="C5" i="49" s="1"/>
  <c r="E26" i="53" l="1"/>
  <c r="F15" i="53"/>
  <c r="F5" i="53"/>
  <c r="J8" i="30"/>
  <c r="K8" i="30" s="1"/>
  <c r="R10" i="49"/>
  <c r="G32" i="30"/>
  <c r="H50" i="30"/>
  <c r="I50" i="30" s="1"/>
  <c r="H24" i="30"/>
  <c r="I24" i="30" s="1"/>
  <c r="R5" i="49"/>
  <c r="G35" i="30"/>
  <c r="H15" i="30"/>
  <c r="H4" i="30"/>
  <c r="I4" i="30" s="1"/>
  <c r="H13" i="30"/>
  <c r="I13" i="30" s="1"/>
  <c r="H12" i="30"/>
  <c r="I12" i="30" s="1"/>
  <c r="H21" i="30"/>
  <c r="I21" i="30" s="1"/>
  <c r="R9" i="49"/>
  <c r="G31" i="30"/>
  <c r="H19" i="30"/>
  <c r="I19" i="30" s="1"/>
  <c r="H38" i="30"/>
  <c r="R8" i="49"/>
  <c r="G36" i="30"/>
  <c r="H14" i="30"/>
  <c r="I14" i="30" s="1"/>
  <c r="J14" i="30" s="1"/>
  <c r="R7" i="49"/>
  <c r="G34" i="30"/>
  <c r="H51" i="30"/>
  <c r="I51" i="30"/>
  <c r="J51" i="30" s="1"/>
  <c r="K51" i="30" s="1"/>
  <c r="H17" i="30"/>
  <c r="I17" i="30"/>
  <c r="H11" i="30"/>
  <c r="I11" i="30" s="1"/>
  <c r="H29" i="30"/>
  <c r="I29" i="30" s="1"/>
  <c r="R6" i="49"/>
  <c r="G33" i="30"/>
  <c r="H16" i="30"/>
  <c r="I16" i="30" s="1"/>
  <c r="F6" i="53"/>
  <c r="F26" i="53" s="1"/>
  <c r="B26" i="53"/>
  <c r="H9" i="24"/>
  <c r="H10" i="21"/>
  <c r="F9" i="24"/>
  <c r="G26" i="15"/>
  <c r="F27" i="17"/>
  <c r="D23" i="13"/>
  <c r="H22" i="20"/>
  <c r="H26" i="13"/>
  <c r="G26" i="13"/>
  <c r="H20" i="15"/>
  <c r="G22" i="24"/>
  <c r="F17" i="17"/>
  <c r="N17" i="17" s="1"/>
  <c r="H17" i="17"/>
  <c r="F20" i="15"/>
  <c r="G10" i="8"/>
  <c r="H22" i="24"/>
  <c r="H15" i="10"/>
  <c r="M55" i="8"/>
  <c r="H27" i="25"/>
  <c r="D35" i="16"/>
  <c r="H27" i="26"/>
  <c r="P64" i="23"/>
  <c r="G9" i="16"/>
  <c r="G15" i="11"/>
  <c r="G20" i="15"/>
  <c r="O37" i="19"/>
  <c r="N64" i="21"/>
  <c r="G27" i="12"/>
  <c r="F27" i="10"/>
  <c r="D17" i="17"/>
  <c r="G15" i="10"/>
  <c r="D15" i="10"/>
  <c r="H23" i="14"/>
  <c r="D22" i="24"/>
  <c r="H20" i="13"/>
  <c r="F27" i="25"/>
  <c r="H27" i="10"/>
  <c r="G27" i="19"/>
  <c r="M54" i="23"/>
  <c r="E27" i="10"/>
  <c r="D27" i="10" s="1"/>
  <c r="G27" i="25"/>
  <c r="M59" i="21"/>
  <c r="F15" i="11"/>
  <c r="F20" i="13"/>
  <c r="M64" i="15"/>
  <c r="D35" i="17"/>
  <c r="H26" i="49"/>
  <c r="S15" i="49" s="1"/>
  <c r="F26" i="49"/>
  <c r="Q15" i="49" s="1"/>
  <c r="BH37" i="27"/>
  <c r="BK37" i="27"/>
  <c r="BI37" i="27"/>
  <c r="BJ37" i="27"/>
  <c r="C49" i="22"/>
  <c r="E21" i="49" s="1"/>
  <c r="F94" i="49" s="1"/>
  <c r="B21" i="52"/>
  <c r="C21" i="52" s="1"/>
  <c r="E47" i="21"/>
  <c r="M47" i="21" s="1"/>
  <c r="B20" i="52"/>
  <c r="C20" i="52" s="1"/>
  <c r="F47" i="14"/>
  <c r="N47" i="14" s="1"/>
  <c r="B7" i="52"/>
  <c r="C7" i="52" s="1"/>
  <c r="N18" i="50"/>
  <c r="O18" i="50" s="1"/>
  <c r="D18" i="50"/>
  <c r="E18" i="50" s="1"/>
  <c r="J18" i="50"/>
  <c r="I18" i="50"/>
  <c r="H18" i="50"/>
  <c r="P18" i="50"/>
  <c r="F18" i="50"/>
  <c r="G18" i="50" s="1"/>
  <c r="F10" i="17"/>
  <c r="H15" i="26"/>
  <c r="H47" i="18"/>
  <c r="P47" i="18" s="1"/>
  <c r="B10" i="52"/>
  <c r="C10" i="52" s="1"/>
  <c r="F47" i="7"/>
  <c r="J47" i="7" s="1"/>
  <c r="B14" i="52"/>
  <c r="C14" i="52" s="1"/>
  <c r="H27" i="17"/>
  <c r="E5" i="45"/>
  <c r="M5" i="45"/>
  <c r="D5" i="45"/>
  <c r="M99" i="49"/>
  <c r="N11" i="50"/>
  <c r="O11" i="50" s="1"/>
  <c r="D11" i="50"/>
  <c r="E11" i="50" s="1"/>
  <c r="H11" i="50"/>
  <c r="J11" i="50"/>
  <c r="F11" i="50"/>
  <c r="G11" i="50" s="1"/>
  <c r="P11" i="50"/>
  <c r="I11" i="50"/>
  <c r="F20" i="50"/>
  <c r="G20" i="50" s="1"/>
  <c r="N20" i="50"/>
  <c r="O20" i="50" s="1"/>
  <c r="I20" i="50"/>
  <c r="H20" i="50"/>
  <c r="P20" i="50"/>
  <c r="D20" i="50"/>
  <c r="E20" i="50" s="1"/>
  <c r="J20" i="50"/>
  <c r="F17" i="50"/>
  <c r="G17" i="50" s="1"/>
  <c r="P17" i="50"/>
  <c r="I17" i="50"/>
  <c r="N17" i="50"/>
  <c r="O17" i="50" s="1"/>
  <c r="J17" i="50"/>
  <c r="D17" i="50"/>
  <c r="E17" i="50" s="1"/>
  <c r="H17" i="50"/>
  <c r="G8" i="12"/>
  <c r="F27" i="19"/>
  <c r="F19" i="33"/>
  <c r="F21" i="33"/>
  <c r="F22" i="20"/>
  <c r="F15" i="26"/>
  <c r="D22" i="8"/>
  <c r="H47" i="5"/>
  <c r="L47" i="5" s="1"/>
  <c r="B5" i="52"/>
  <c r="F47" i="16"/>
  <c r="N47" i="16" s="1"/>
  <c r="B13" i="52"/>
  <c r="C13" i="52" s="1"/>
  <c r="E47" i="17"/>
  <c r="I47" i="17" s="1"/>
  <c r="B12" i="52"/>
  <c r="C12" i="52" s="1"/>
  <c r="F47" i="8"/>
  <c r="N47" i="8" s="1"/>
  <c r="B15" i="52"/>
  <c r="C15" i="52" s="1"/>
  <c r="H47" i="13"/>
  <c r="P47" i="13" s="1"/>
  <c r="B19" i="52"/>
  <c r="C19" i="52" s="1"/>
  <c r="H22" i="9"/>
  <c r="G23" i="13"/>
  <c r="D52" i="49"/>
  <c r="C73" i="49"/>
  <c r="F6" i="50"/>
  <c r="G6" i="50" s="1"/>
  <c r="I6" i="50"/>
  <c r="H6" i="50"/>
  <c r="D6" i="50"/>
  <c r="E6" i="50" s="1"/>
  <c r="P6" i="50"/>
  <c r="N6" i="50"/>
  <c r="O6" i="50" s="1"/>
  <c r="J6" i="50"/>
  <c r="N14" i="50"/>
  <c r="O14" i="50" s="1"/>
  <c r="J14" i="50"/>
  <c r="P14" i="50"/>
  <c r="F14" i="50"/>
  <c r="G14" i="50" s="1"/>
  <c r="I14" i="50"/>
  <c r="D14" i="50"/>
  <c r="E14" i="50" s="1"/>
  <c r="H14" i="50"/>
  <c r="I22" i="50"/>
  <c r="H22" i="50"/>
  <c r="D22" i="50"/>
  <c r="E22" i="50" s="1"/>
  <c r="N22" i="50"/>
  <c r="O22" i="50" s="1"/>
  <c r="J22" i="50"/>
  <c r="F22" i="50"/>
  <c r="G22" i="50" s="1"/>
  <c r="P22" i="50"/>
  <c r="J78" i="49"/>
  <c r="B23" i="52"/>
  <c r="C23" i="52" s="1"/>
  <c r="H47" i="15"/>
  <c r="P47" i="15" s="1"/>
  <c r="B11" i="52"/>
  <c r="C11" i="52" s="1"/>
  <c r="F10" i="50"/>
  <c r="G10" i="50" s="1"/>
  <c r="P10" i="50"/>
  <c r="I10" i="50"/>
  <c r="J10" i="50"/>
  <c r="H10" i="50"/>
  <c r="N10" i="50"/>
  <c r="O10" i="50" s="1"/>
  <c r="D10" i="50"/>
  <c r="E10" i="50" s="1"/>
  <c r="H8" i="12"/>
  <c r="E27" i="12"/>
  <c r="D27" i="12" s="1"/>
  <c r="G27" i="17"/>
  <c r="F22" i="33"/>
  <c r="F47" i="9"/>
  <c r="N47" i="9" s="1"/>
  <c r="B16" i="52"/>
  <c r="C16" i="52" s="1"/>
  <c r="F47" i="10"/>
  <c r="N47" i="10" s="1"/>
  <c r="B17" i="52"/>
  <c r="C17" i="52" s="1"/>
  <c r="G45" i="34"/>
  <c r="F19" i="50"/>
  <c r="G19" i="50" s="1"/>
  <c r="P19" i="50"/>
  <c r="I19" i="50"/>
  <c r="H19" i="50"/>
  <c r="D19" i="50"/>
  <c r="E19" i="50" s="1"/>
  <c r="N19" i="50"/>
  <c r="O19" i="50" s="1"/>
  <c r="J19" i="50"/>
  <c r="N12" i="50"/>
  <c r="O12" i="50" s="1"/>
  <c r="F12" i="50"/>
  <c r="G12" i="50" s="1"/>
  <c r="J12" i="50"/>
  <c r="I12" i="50"/>
  <c r="D12" i="50"/>
  <c r="E12" i="50" s="1"/>
  <c r="H12" i="50"/>
  <c r="P12" i="50"/>
  <c r="N9" i="50"/>
  <c r="O9" i="50" s="1"/>
  <c r="F9" i="50"/>
  <c r="G9" i="50" s="1"/>
  <c r="I9" i="50"/>
  <c r="H9" i="50"/>
  <c r="J9" i="50"/>
  <c r="P9" i="50"/>
  <c r="D9" i="50"/>
  <c r="E9" i="50" s="1"/>
  <c r="N25" i="50"/>
  <c r="O25" i="50" s="1"/>
  <c r="D25" i="50"/>
  <c r="E25" i="50" s="1"/>
  <c r="H25" i="50"/>
  <c r="J25" i="50"/>
  <c r="P25" i="50"/>
  <c r="I25" i="50"/>
  <c r="F25" i="50"/>
  <c r="G25" i="50" s="1"/>
  <c r="D15" i="11"/>
  <c r="I22" i="33"/>
  <c r="I25" i="33"/>
  <c r="I26" i="33" s="1"/>
  <c r="L29" i="27"/>
  <c r="G47" i="20"/>
  <c r="O47" i="20" s="1"/>
  <c r="B8" i="52"/>
  <c r="C8" i="52" s="1"/>
  <c r="H47" i="25"/>
  <c r="P47" i="25" s="1"/>
  <c r="B24" i="52"/>
  <c r="C24" i="52" s="1"/>
  <c r="H47" i="19"/>
  <c r="L47" i="19" s="1"/>
  <c r="B9" i="52"/>
  <c r="C9" i="52" s="1"/>
  <c r="F47" i="26"/>
  <c r="N47" i="26" s="1"/>
  <c r="B25" i="52"/>
  <c r="C25" i="52" s="1"/>
  <c r="G47" i="11"/>
  <c r="O47" i="11" s="1"/>
  <c r="B18" i="52"/>
  <c r="C18" i="52" s="1"/>
  <c r="H47" i="12"/>
  <c r="P47" i="12" s="1"/>
  <c r="B6" i="52"/>
  <c r="C6" i="52" s="1"/>
  <c r="F47" i="23"/>
  <c r="J47" i="23" s="1"/>
  <c r="B22" i="52"/>
  <c r="C22" i="52" s="1"/>
  <c r="F22" i="9"/>
  <c r="G22" i="20"/>
  <c r="L99" i="49"/>
  <c r="N29" i="27"/>
  <c r="D7" i="50"/>
  <c r="E7" i="50" s="1"/>
  <c r="P7" i="50"/>
  <c r="J7" i="50"/>
  <c r="H7" i="50"/>
  <c r="N7" i="50"/>
  <c r="O7" i="50" s="1"/>
  <c r="I7" i="50"/>
  <c r="F7" i="50"/>
  <c r="G7" i="50" s="1"/>
  <c r="N15" i="50"/>
  <c r="O15" i="50" s="1"/>
  <c r="F15" i="50"/>
  <c r="G15" i="50" s="1"/>
  <c r="I15" i="50"/>
  <c r="P15" i="50"/>
  <c r="D15" i="50"/>
  <c r="E15" i="50" s="1"/>
  <c r="J15" i="50"/>
  <c r="H15" i="50"/>
  <c r="I23" i="50"/>
  <c r="H23" i="50"/>
  <c r="D23" i="50"/>
  <c r="E23" i="50" s="1"/>
  <c r="J23" i="50"/>
  <c r="P23" i="50"/>
  <c r="N23" i="50"/>
  <c r="O23" i="50" s="1"/>
  <c r="F23" i="50"/>
  <c r="G23" i="50" s="1"/>
  <c r="I8" i="50"/>
  <c r="H8" i="50"/>
  <c r="D8" i="50"/>
  <c r="E8" i="50" s="1"/>
  <c r="N8" i="50"/>
  <c r="O8" i="50" s="1"/>
  <c r="J8" i="50"/>
  <c r="F8" i="50"/>
  <c r="G8" i="50" s="1"/>
  <c r="P8" i="50"/>
  <c r="P16" i="50"/>
  <c r="F16" i="50"/>
  <c r="G16" i="50" s="1"/>
  <c r="H16" i="50"/>
  <c r="N16" i="50"/>
  <c r="O16" i="50" s="1"/>
  <c r="I16" i="50"/>
  <c r="D16" i="50"/>
  <c r="E16" i="50" s="1"/>
  <c r="J16" i="50"/>
  <c r="P24" i="50"/>
  <c r="J24" i="50"/>
  <c r="N24" i="50"/>
  <c r="O24" i="50" s="1"/>
  <c r="F24" i="50"/>
  <c r="G24" i="50" s="1"/>
  <c r="H24" i="50"/>
  <c r="I24" i="50"/>
  <c r="D24" i="50"/>
  <c r="E24" i="50" s="1"/>
  <c r="D5" i="50"/>
  <c r="F5" i="50"/>
  <c r="I5" i="50"/>
  <c r="J5" i="50"/>
  <c r="P5" i="50"/>
  <c r="H5" i="50"/>
  <c r="N5" i="50"/>
  <c r="C26" i="50"/>
  <c r="P13" i="50"/>
  <c r="J13" i="50"/>
  <c r="F13" i="50"/>
  <c r="G13" i="50" s="1"/>
  <c r="D13" i="50"/>
  <c r="E13" i="50" s="1"/>
  <c r="H13" i="50"/>
  <c r="N13" i="50"/>
  <c r="O13" i="50" s="1"/>
  <c r="I13" i="50"/>
  <c r="N21" i="50"/>
  <c r="O21" i="50" s="1"/>
  <c r="D21" i="50"/>
  <c r="E21" i="50" s="1"/>
  <c r="P21" i="50"/>
  <c r="F21" i="50"/>
  <c r="G21" i="50" s="1"/>
  <c r="J21" i="50"/>
  <c r="H21" i="50"/>
  <c r="I21" i="50"/>
  <c r="C121" i="12"/>
  <c r="D15" i="12"/>
  <c r="J79" i="49"/>
  <c r="H15" i="12"/>
  <c r="G15" i="12"/>
  <c r="H27" i="12"/>
  <c r="E22" i="5"/>
  <c r="G22" i="5" s="1"/>
  <c r="E22" i="22"/>
  <c r="G22" i="22" s="1"/>
  <c r="D22" i="23"/>
  <c r="H9" i="16"/>
  <c r="G22" i="9"/>
  <c r="E52" i="9"/>
  <c r="F52" i="9" s="1"/>
  <c r="E22" i="25"/>
  <c r="D22" i="25" s="1"/>
  <c r="E22" i="13"/>
  <c r="D22" i="13" s="1"/>
  <c r="E22" i="12"/>
  <c r="F22" i="12" s="1"/>
  <c r="D60" i="18"/>
  <c r="D37" i="19"/>
  <c r="D60" i="10"/>
  <c r="D37" i="21"/>
  <c r="D37" i="15"/>
  <c r="D37" i="22"/>
  <c r="D37" i="16"/>
  <c r="D37" i="9"/>
  <c r="D37" i="17"/>
  <c r="D37" i="10"/>
  <c r="D60" i="9"/>
  <c r="H27" i="19"/>
  <c r="D60" i="8"/>
  <c r="H26" i="9"/>
  <c r="D60" i="15"/>
  <c r="D27" i="48"/>
  <c r="E26" i="13"/>
  <c r="D26" i="13" s="1"/>
  <c r="C29" i="9"/>
  <c r="D16" i="49" s="1"/>
  <c r="E89" i="49" s="1"/>
  <c r="G22" i="15"/>
  <c r="D60" i="5"/>
  <c r="D60" i="19"/>
  <c r="D60" i="14"/>
  <c r="F27" i="26"/>
  <c r="D60" i="13"/>
  <c r="G22" i="23"/>
  <c r="D60" i="20"/>
  <c r="D60" i="21"/>
  <c r="G27" i="26"/>
  <c r="G22" i="8"/>
  <c r="F22" i="8"/>
  <c r="D35" i="22"/>
  <c r="H9" i="8"/>
  <c r="H22" i="23"/>
  <c r="F9" i="8"/>
  <c r="G9" i="22"/>
  <c r="H17" i="10"/>
  <c r="H10" i="22"/>
  <c r="G19" i="11"/>
  <c r="D19" i="18"/>
  <c r="M42" i="16"/>
  <c r="P41" i="21"/>
  <c r="M39" i="18"/>
  <c r="P17" i="14"/>
  <c r="P41" i="10"/>
  <c r="M39" i="22"/>
  <c r="O23" i="17"/>
  <c r="O19" i="24"/>
  <c r="P42" i="17"/>
  <c r="M42" i="15"/>
  <c r="O40" i="13"/>
  <c r="N8" i="11"/>
  <c r="O23" i="26"/>
  <c r="P42" i="21"/>
  <c r="M42" i="5"/>
  <c r="D19" i="26"/>
  <c r="B24" i="34"/>
  <c r="G19" i="26"/>
  <c r="B23" i="34"/>
  <c r="B21" i="34"/>
  <c r="D35" i="23"/>
  <c r="D23" i="23"/>
  <c r="B20" i="34"/>
  <c r="H21" i="22"/>
  <c r="D35" i="21"/>
  <c r="D65" i="21"/>
  <c r="D17" i="10"/>
  <c r="B16" i="34"/>
  <c r="B15" i="34"/>
  <c r="B14" i="34"/>
  <c r="B13" i="34"/>
  <c r="B12" i="34"/>
  <c r="D22" i="15"/>
  <c r="F22" i="15"/>
  <c r="D19" i="19"/>
  <c r="G19" i="19"/>
  <c r="H19" i="19"/>
  <c r="B8" i="34"/>
  <c r="G66" i="29"/>
  <c r="F66" i="29"/>
  <c r="H66" i="29"/>
  <c r="D64" i="5"/>
  <c r="D63" i="5"/>
  <c r="E66" i="29"/>
  <c r="N25" i="11"/>
  <c r="P42" i="7"/>
  <c r="N10" i="9"/>
  <c r="P42" i="9"/>
  <c r="M57" i="23"/>
  <c r="P42" i="20"/>
  <c r="M8" i="5"/>
  <c r="M19" i="14"/>
  <c r="M19" i="5"/>
  <c r="F21" i="16"/>
  <c r="L37" i="24"/>
  <c r="G19" i="10"/>
  <c r="H19" i="22"/>
  <c r="D19" i="22"/>
  <c r="D19" i="11"/>
  <c r="D18" i="15"/>
  <c r="F8" i="8"/>
  <c r="G19" i="18"/>
  <c r="H19" i="18"/>
  <c r="C5" i="46"/>
  <c r="F5" i="46" s="1"/>
  <c r="G5" i="45"/>
  <c r="H5" i="45" s="1"/>
  <c r="B141" i="5"/>
  <c r="C141" i="5" s="1"/>
  <c r="C32" i="5" s="1"/>
  <c r="H19" i="11"/>
  <c r="F19" i="22"/>
  <c r="G20" i="24"/>
  <c r="G19" i="23"/>
  <c r="F19" i="16"/>
  <c r="G22" i="11"/>
  <c r="G17" i="16"/>
  <c r="H20" i="24"/>
  <c r="H9" i="26"/>
  <c r="G19" i="17"/>
  <c r="F19" i="7"/>
  <c r="D19" i="10"/>
  <c r="E65" i="25"/>
  <c r="H19" i="7"/>
  <c r="G10" i="22"/>
  <c r="F18" i="14"/>
  <c r="F19" i="17"/>
  <c r="F10" i="5"/>
  <c r="G10" i="5"/>
  <c r="D19" i="7"/>
  <c r="G23" i="7"/>
  <c r="D19" i="17"/>
  <c r="H19" i="23"/>
  <c r="H19" i="16"/>
  <c r="F19" i="10"/>
  <c r="E22" i="29"/>
  <c r="D22" i="29" s="1"/>
  <c r="H22" i="21"/>
  <c r="D23" i="17"/>
  <c r="D19" i="16"/>
  <c r="D19" i="23"/>
  <c r="F18" i="15"/>
  <c r="H15" i="14"/>
  <c r="G43" i="34"/>
  <c r="G23" i="15"/>
  <c r="F23" i="18"/>
  <c r="G23" i="22"/>
  <c r="G17" i="20"/>
  <c r="H23" i="13"/>
  <c r="G23" i="11"/>
  <c r="E65" i="15"/>
  <c r="H23" i="18"/>
  <c r="D35" i="25"/>
  <c r="H65" i="7"/>
  <c r="D23" i="18"/>
  <c r="H23" i="12"/>
  <c r="F23" i="12"/>
  <c r="H23" i="15"/>
  <c r="G16" i="22"/>
  <c r="H8" i="8"/>
  <c r="F10" i="11"/>
  <c r="D23" i="12"/>
  <c r="G33" i="34"/>
  <c r="G49" i="34"/>
  <c r="D23" i="7"/>
  <c r="H22" i="16"/>
  <c r="H23" i="7"/>
  <c r="D23" i="15"/>
  <c r="G22" i="7"/>
  <c r="D35" i="7"/>
  <c r="D15" i="25"/>
  <c r="H18" i="8"/>
  <c r="G23" i="20"/>
  <c r="H23" i="11"/>
  <c r="F22" i="7"/>
  <c r="G34" i="34"/>
  <c r="D23" i="14"/>
  <c r="D17" i="26"/>
  <c r="G16" i="9"/>
  <c r="H23" i="23"/>
  <c r="D23" i="11"/>
  <c r="G23" i="14"/>
  <c r="D35" i="9"/>
  <c r="D35" i="8"/>
  <c r="G17" i="26"/>
  <c r="H16" i="22"/>
  <c r="H10" i="13"/>
  <c r="G23" i="23"/>
  <c r="M19" i="17"/>
  <c r="M34" i="24"/>
  <c r="O64" i="10"/>
  <c r="M26" i="8"/>
  <c r="N27" i="5"/>
  <c r="P6" i="14"/>
  <c r="P20" i="23"/>
  <c r="M19" i="25"/>
  <c r="M26" i="26"/>
  <c r="M26" i="13"/>
  <c r="P8" i="16"/>
  <c r="N27" i="25"/>
  <c r="P8" i="25"/>
  <c r="M26" i="17"/>
  <c r="N27" i="20"/>
  <c r="O64" i="7"/>
  <c r="M17" i="7"/>
  <c r="P8" i="14"/>
  <c r="P20" i="7"/>
  <c r="M17" i="5"/>
  <c r="P20" i="18"/>
  <c r="M19" i="8"/>
  <c r="O64" i="12"/>
  <c r="M17" i="15"/>
  <c r="P8" i="12"/>
  <c r="C19" i="46"/>
  <c r="C19" i="45"/>
  <c r="B141" i="13"/>
  <c r="C141" i="13" s="1"/>
  <c r="C32" i="13" s="1"/>
  <c r="F20" i="17"/>
  <c r="F22" i="16"/>
  <c r="G20" i="16"/>
  <c r="F15" i="22"/>
  <c r="G9" i="25"/>
  <c r="G65" i="15"/>
  <c r="H16" i="14"/>
  <c r="G15" i="21"/>
  <c r="C13" i="46"/>
  <c r="C13" i="45"/>
  <c r="B141" i="16"/>
  <c r="C141" i="16" s="1"/>
  <c r="C32" i="16" s="1"/>
  <c r="C25" i="46"/>
  <c r="C25" i="45"/>
  <c r="B141" i="26"/>
  <c r="C141" i="26" s="1"/>
  <c r="C32" i="26" s="1"/>
  <c r="C9" i="46"/>
  <c r="C9" i="45"/>
  <c r="B141" i="19"/>
  <c r="C141" i="19" s="1"/>
  <c r="C32" i="19" s="1"/>
  <c r="C17" i="46"/>
  <c r="C17" i="45"/>
  <c r="B141" i="10"/>
  <c r="C141" i="10" s="1"/>
  <c r="C32" i="10" s="1"/>
  <c r="C11" i="46"/>
  <c r="C11" i="45"/>
  <c r="B141" i="15"/>
  <c r="C141" i="15" s="1"/>
  <c r="C32" i="15" s="1"/>
  <c r="C8" i="46"/>
  <c r="C8" i="45"/>
  <c r="B141" i="20"/>
  <c r="C141" i="20" s="1"/>
  <c r="C32" i="20" s="1"/>
  <c r="C6" i="46"/>
  <c r="C6" i="45"/>
  <c r="C141" i="12"/>
  <c r="C32" i="12" s="1"/>
  <c r="C22" i="46"/>
  <c r="C22" i="45"/>
  <c r="B141" i="23"/>
  <c r="C141" i="23" s="1"/>
  <c r="C32" i="23" s="1"/>
  <c r="C15" i="46"/>
  <c r="C15" i="45"/>
  <c r="B141" i="8"/>
  <c r="C141" i="8" s="1"/>
  <c r="C32" i="8" s="1"/>
  <c r="D21" i="12"/>
  <c r="F22" i="19"/>
  <c r="H22" i="19"/>
  <c r="G7" i="9"/>
  <c r="C23" i="46"/>
  <c r="C23" i="45"/>
  <c r="B141" i="24"/>
  <c r="C141" i="24" s="1"/>
  <c r="C32" i="24" s="1"/>
  <c r="F18" i="23"/>
  <c r="H17" i="8"/>
  <c r="F16" i="14"/>
  <c r="G15" i="17"/>
  <c r="D22" i="19"/>
  <c r="D22" i="16"/>
  <c r="C21" i="46"/>
  <c r="C21" i="45"/>
  <c r="B141" i="22"/>
  <c r="C141" i="22" s="1"/>
  <c r="C32" i="22" s="1"/>
  <c r="C16" i="46"/>
  <c r="C16" i="45"/>
  <c r="B141" i="9"/>
  <c r="C141" i="9" s="1"/>
  <c r="C32" i="9" s="1"/>
  <c r="C14" i="46"/>
  <c r="C14" i="45"/>
  <c r="B141" i="7"/>
  <c r="C141" i="7" s="1"/>
  <c r="C32" i="7" s="1"/>
  <c r="C7" i="46"/>
  <c r="C7" i="45"/>
  <c r="C141" i="14"/>
  <c r="C32" i="14" s="1"/>
  <c r="G65" i="25"/>
  <c r="G18" i="7"/>
  <c r="G21" i="12"/>
  <c r="G16" i="14"/>
  <c r="C20" i="46"/>
  <c r="C20" i="45"/>
  <c r="B141" i="21"/>
  <c r="C141" i="21" s="1"/>
  <c r="C32" i="21" s="1"/>
  <c r="C18" i="46"/>
  <c r="C18" i="45"/>
  <c r="B141" i="11"/>
  <c r="C141" i="11" s="1"/>
  <c r="C32" i="11" s="1"/>
  <c r="C12" i="46"/>
  <c r="C12" i="45"/>
  <c r="B141" i="17"/>
  <c r="C141" i="17" s="1"/>
  <c r="C32" i="17" s="1"/>
  <c r="F17" i="8"/>
  <c r="N17" i="8" s="1"/>
  <c r="C24" i="46"/>
  <c r="C24" i="45"/>
  <c r="B141" i="25"/>
  <c r="C141" i="25" s="1"/>
  <c r="C32" i="25" s="1"/>
  <c r="C10" i="46"/>
  <c r="C10" i="45"/>
  <c r="B141" i="18"/>
  <c r="C141" i="18" s="1"/>
  <c r="C32" i="18" s="1"/>
  <c r="H20" i="19"/>
  <c r="D22" i="10"/>
  <c r="F46" i="12"/>
  <c r="E65" i="21"/>
  <c r="F7" i="23"/>
  <c r="D15" i="21"/>
  <c r="D15" i="17"/>
  <c r="F18" i="24"/>
  <c r="G20" i="21"/>
  <c r="H9" i="18"/>
  <c r="G7" i="23"/>
  <c r="D18" i="24"/>
  <c r="H18" i="7"/>
  <c r="H20" i="17"/>
  <c r="D20" i="21"/>
  <c r="G9" i="18"/>
  <c r="D15" i="9"/>
  <c r="D15" i="13"/>
  <c r="F21" i="7"/>
  <c r="H7" i="9"/>
  <c r="H15" i="13"/>
  <c r="H15" i="20"/>
  <c r="G15" i="9"/>
  <c r="D20" i="19"/>
  <c r="D20" i="17"/>
  <c r="G21" i="18"/>
  <c r="H21" i="18"/>
  <c r="G20" i="19"/>
  <c r="G18" i="23"/>
  <c r="H15" i="22"/>
  <c r="H8" i="7"/>
  <c r="G15" i="16"/>
  <c r="F15" i="23"/>
  <c r="H16" i="8"/>
  <c r="G20" i="8"/>
  <c r="G8" i="11"/>
  <c r="D15" i="22"/>
  <c r="F15" i="16"/>
  <c r="H21" i="16"/>
  <c r="H7" i="20"/>
  <c r="H7" i="15"/>
  <c r="H9" i="25"/>
  <c r="G18" i="24"/>
  <c r="F18" i="7"/>
  <c r="H15" i="17"/>
  <c r="F21" i="18"/>
  <c r="D18" i="13"/>
  <c r="F16" i="9"/>
  <c r="H21" i="12"/>
  <c r="G17" i="8"/>
  <c r="F17" i="26"/>
  <c r="N17" i="26" s="1"/>
  <c r="F18" i="8"/>
  <c r="D18" i="23"/>
  <c r="H20" i="21"/>
  <c r="P20" i="21" s="1"/>
  <c r="D18" i="8"/>
  <c r="H20" i="10"/>
  <c r="D20" i="22"/>
  <c r="F20" i="7"/>
  <c r="G7" i="15"/>
  <c r="D15" i="15"/>
  <c r="F15" i="21"/>
  <c r="F16" i="22"/>
  <c r="D20" i="10"/>
  <c r="H15" i="16"/>
  <c r="H7" i="7"/>
  <c r="F7" i="7"/>
  <c r="F20" i="10"/>
  <c r="F8" i="11"/>
  <c r="F9" i="9"/>
  <c r="G15" i="25"/>
  <c r="G7" i="20"/>
  <c r="G18" i="13"/>
  <c r="H16" i="9"/>
  <c r="D20" i="23"/>
  <c r="G9" i="9"/>
  <c r="H17" i="20"/>
  <c r="F20" i="23"/>
  <c r="F7" i="26"/>
  <c r="H18" i="13"/>
  <c r="D20" i="8"/>
  <c r="F8" i="7"/>
  <c r="H20" i="25"/>
  <c r="D15" i="23"/>
  <c r="F17" i="22"/>
  <c r="N17" i="22" s="1"/>
  <c r="F15" i="20"/>
  <c r="F15" i="25"/>
  <c r="F15" i="15"/>
  <c r="H20" i="8"/>
  <c r="F18" i="18"/>
  <c r="G17" i="12"/>
  <c r="D17" i="20"/>
  <c r="H17" i="22"/>
  <c r="G21" i="16"/>
  <c r="G20" i="22"/>
  <c r="G20" i="7"/>
  <c r="G20" i="23"/>
  <c r="D18" i="18"/>
  <c r="H17" i="12"/>
  <c r="F9" i="10"/>
  <c r="D15" i="20"/>
  <c r="G15" i="13"/>
  <c r="G17" i="22"/>
  <c r="G15" i="24"/>
  <c r="M34" i="11"/>
  <c r="N25" i="8"/>
  <c r="N25" i="19"/>
  <c r="O40" i="15"/>
  <c r="M8" i="13"/>
  <c r="N8" i="19"/>
  <c r="P42" i="18"/>
  <c r="M20" i="18"/>
  <c r="M27" i="12"/>
  <c r="M27" i="11"/>
  <c r="P17" i="23"/>
  <c r="M20" i="22"/>
  <c r="N25" i="12"/>
  <c r="N25" i="9"/>
  <c r="N25" i="26"/>
  <c r="M20" i="25"/>
  <c r="M27" i="24"/>
  <c r="P42" i="10"/>
  <c r="N8" i="12"/>
  <c r="M64" i="24"/>
  <c r="O64" i="22"/>
  <c r="D20" i="16"/>
  <c r="G20" i="26"/>
  <c r="H23" i="21"/>
  <c r="D15" i="7"/>
  <c r="H23" i="22"/>
  <c r="H17" i="24"/>
  <c r="D17" i="24"/>
  <c r="D20" i="24"/>
  <c r="F8" i="18"/>
  <c r="G20" i="20"/>
  <c r="G20" i="9"/>
  <c r="G20" i="25"/>
  <c r="G7" i="19"/>
  <c r="G23" i="21"/>
  <c r="D15" i="8"/>
  <c r="G65" i="8"/>
  <c r="G20" i="14"/>
  <c r="G15" i="14"/>
  <c r="F23" i="22"/>
  <c r="F22" i="21"/>
  <c r="H21" i="9"/>
  <c r="F17" i="10"/>
  <c r="N17" i="10" s="1"/>
  <c r="H15" i="15"/>
  <c r="H15" i="24"/>
  <c r="G15" i="8"/>
  <c r="G23" i="17"/>
  <c r="G17" i="24"/>
  <c r="G8" i="18"/>
  <c r="H20" i="20"/>
  <c r="H23" i="25"/>
  <c r="F15" i="14"/>
  <c r="F21" i="9"/>
  <c r="G21" i="9"/>
  <c r="F20" i="20"/>
  <c r="F20" i="9"/>
  <c r="F20" i="25"/>
  <c r="G23" i="25"/>
  <c r="G23" i="16"/>
  <c r="H15" i="23"/>
  <c r="F15" i="9"/>
  <c r="G21" i="23"/>
  <c r="G21" i="22"/>
  <c r="D20" i="26"/>
  <c r="G18" i="18"/>
  <c r="F17" i="12"/>
  <c r="N17" i="12" s="1"/>
  <c r="H20" i="9"/>
  <c r="H15" i="7"/>
  <c r="H20" i="16"/>
  <c r="H20" i="22"/>
  <c r="H20" i="26"/>
  <c r="G7" i="26"/>
  <c r="G10" i="18"/>
  <c r="D15" i="24"/>
  <c r="D23" i="16"/>
  <c r="H20" i="14"/>
  <c r="H22" i="7"/>
  <c r="H21" i="23"/>
  <c r="F21" i="23"/>
  <c r="G15" i="7"/>
  <c r="D23" i="25"/>
  <c r="D20" i="7"/>
  <c r="D20" i="14"/>
  <c r="F23" i="21"/>
  <c r="G18" i="15"/>
  <c r="F17" i="16"/>
  <c r="N17" i="16" s="1"/>
  <c r="F21" i="22"/>
  <c r="H17" i="16"/>
  <c r="H15" i="8"/>
  <c r="D16" i="8"/>
  <c r="H22" i="10"/>
  <c r="G46" i="12"/>
  <c r="D21" i="7"/>
  <c r="F7" i="8"/>
  <c r="H65" i="23"/>
  <c r="G16" i="8"/>
  <c r="F7" i="19"/>
  <c r="G10" i="13"/>
  <c r="G10" i="7"/>
  <c r="F22" i="10"/>
  <c r="G9" i="10"/>
  <c r="D21" i="14"/>
  <c r="F23" i="20"/>
  <c r="G35" i="34"/>
  <c r="G7" i="22"/>
  <c r="D23" i="20"/>
  <c r="H21" i="14"/>
  <c r="F10" i="7"/>
  <c r="F23" i="16"/>
  <c r="H22" i="11"/>
  <c r="G23" i="24"/>
  <c r="H7" i="25"/>
  <c r="E26" i="29"/>
  <c r="D26" i="29" s="1"/>
  <c r="G22" i="18"/>
  <c r="F7" i="25"/>
  <c r="F23" i="17"/>
  <c r="H65" i="25"/>
  <c r="H46" i="12"/>
  <c r="F9" i="26"/>
  <c r="H65" i="21"/>
  <c r="G10" i="23"/>
  <c r="D18" i="14"/>
  <c r="H21" i="7"/>
  <c r="F22" i="26"/>
  <c r="G21" i="14"/>
  <c r="H23" i="24"/>
  <c r="D16" i="18"/>
  <c r="G7" i="14"/>
  <c r="F21" i="11"/>
  <c r="G18" i="14"/>
  <c r="D22" i="21"/>
  <c r="G7" i="8"/>
  <c r="G22" i="17"/>
  <c r="D65" i="15"/>
  <c r="F23" i="24"/>
  <c r="G7" i="16"/>
  <c r="D18" i="11"/>
  <c r="G26" i="20"/>
  <c r="F22" i="18"/>
  <c r="H21" i="11"/>
  <c r="D22" i="18"/>
  <c r="H21" i="19"/>
  <c r="F16" i="15"/>
  <c r="F16" i="24"/>
  <c r="G16" i="18"/>
  <c r="H18" i="11"/>
  <c r="H7" i="14"/>
  <c r="F7" i="16"/>
  <c r="E11" i="23"/>
  <c r="B48" i="34" s="1"/>
  <c r="F7" i="22"/>
  <c r="G23" i="9"/>
  <c r="D22" i="11"/>
  <c r="H23" i="9"/>
  <c r="F7" i="13"/>
  <c r="G21" i="11"/>
  <c r="G21" i="19"/>
  <c r="D22" i="26"/>
  <c r="H10" i="8"/>
  <c r="H16" i="15"/>
  <c r="F10" i="18"/>
  <c r="D22" i="17"/>
  <c r="C29" i="20"/>
  <c r="D8" i="49" s="1"/>
  <c r="E81" i="49" s="1"/>
  <c r="D16" i="15"/>
  <c r="D16" i="24"/>
  <c r="H16" i="18"/>
  <c r="F18" i="11"/>
  <c r="C29" i="24"/>
  <c r="D23" i="49" s="1"/>
  <c r="E96" i="49" s="1"/>
  <c r="H10" i="23"/>
  <c r="F23" i="9"/>
  <c r="E40" i="34"/>
  <c r="G7" i="13"/>
  <c r="F21" i="19"/>
  <c r="H22" i="26"/>
  <c r="H22" i="17"/>
  <c r="H65" i="11"/>
  <c r="H65" i="18"/>
  <c r="F23" i="8"/>
  <c r="D23" i="8"/>
  <c r="H23" i="8"/>
  <c r="H16" i="24"/>
  <c r="G10" i="11"/>
  <c r="G10" i="15"/>
  <c r="F26" i="25"/>
  <c r="H10" i="15"/>
  <c r="H10" i="20"/>
  <c r="D39" i="19"/>
  <c r="G10" i="20"/>
  <c r="F27" i="14"/>
  <c r="M59" i="8"/>
  <c r="E51" i="34"/>
  <c r="M59" i="9"/>
  <c r="E49" i="34"/>
  <c r="F26" i="11"/>
  <c r="M57" i="18"/>
  <c r="G25" i="34"/>
  <c r="E34" i="34"/>
  <c r="N64" i="9"/>
  <c r="G27" i="7"/>
  <c r="E43" i="34"/>
  <c r="G31" i="34"/>
  <c r="E42" i="34"/>
  <c r="D35" i="18"/>
  <c r="G36" i="34"/>
  <c r="F26" i="23"/>
  <c r="G26" i="7"/>
  <c r="D35" i="11"/>
  <c r="G44" i="34"/>
  <c r="G51" i="34"/>
  <c r="D35" i="26"/>
  <c r="O37" i="7"/>
  <c r="I16" i="10"/>
  <c r="I16" i="16"/>
  <c r="E36" i="34"/>
  <c r="H27" i="8"/>
  <c r="P48" i="19"/>
  <c r="I16" i="24"/>
  <c r="O37" i="21"/>
  <c r="E38" i="34"/>
  <c r="E37" i="34"/>
  <c r="E45" i="34"/>
  <c r="L37" i="13"/>
  <c r="M19" i="24"/>
  <c r="L37" i="8"/>
  <c r="N64" i="8"/>
  <c r="M8" i="24"/>
  <c r="O37" i="8"/>
  <c r="O37" i="18"/>
  <c r="P41" i="9"/>
  <c r="P6" i="25"/>
  <c r="M8" i="7"/>
  <c r="M8" i="11"/>
  <c r="L37" i="22"/>
  <c r="P6" i="15"/>
  <c r="P6" i="21"/>
  <c r="P41" i="18"/>
  <c r="M8" i="14"/>
  <c r="N10" i="25"/>
  <c r="O37" i="26"/>
  <c r="P41" i="5"/>
  <c r="N10" i="19"/>
  <c r="O18" i="26"/>
  <c r="M8" i="17"/>
  <c r="O37" i="9"/>
  <c r="N10" i="16"/>
  <c r="M19" i="10"/>
  <c r="P41" i="11"/>
  <c r="O18" i="15"/>
  <c r="O18" i="13"/>
  <c r="P20" i="22"/>
  <c r="O18" i="18"/>
  <c r="M19" i="13"/>
  <c r="O37" i="23"/>
  <c r="N64" i="11"/>
  <c r="P6" i="20"/>
  <c r="P20" i="14"/>
  <c r="M8" i="21"/>
  <c r="O18" i="8"/>
  <c r="O18" i="7"/>
  <c r="N64" i="16"/>
  <c r="P41" i="17"/>
  <c r="P41" i="26"/>
  <c r="N10" i="18"/>
  <c r="P6" i="9"/>
  <c r="M19" i="9"/>
  <c r="P41" i="12"/>
  <c r="N64" i="13"/>
  <c r="P20" i="13"/>
  <c r="M19" i="18"/>
  <c r="L37" i="19"/>
  <c r="N64" i="25"/>
  <c r="P41" i="8"/>
  <c r="N10" i="11"/>
  <c r="O18" i="12"/>
  <c r="M19" i="22"/>
  <c r="P6" i="22"/>
  <c r="P6" i="17"/>
  <c r="N10" i="13"/>
  <c r="N64" i="15"/>
  <c r="P20" i="8"/>
  <c r="P20" i="24"/>
  <c r="P20" i="20"/>
  <c r="P20" i="9"/>
  <c r="P20" i="25"/>
  <c r="M13" i="15"/>
  <c r="N10" i="23"/>
  <c r="M8" i="23"/>
  <c r="P18" i="8"/>
  <c r="N25" i="7"/>
  <c r="N25" i="10"/>
  <c r="N25" i="21"/>
  <c r="O64" i="18"/>
  <c r="O64" i="26"/>
  <c r="M26" i="24"/>
  <c r="P17" i="8"/>
  <c r="M20" i="5"/>
  <c r="N27" i="7"/>
  <c r="O23" i="15"/>
  <c r="M42" i="23"/>
  <c r="P8" i="5"/>
  <c r="M42" i="22"/>
  <c r="P54" i="26"/>
  <c r="M20" i="23"/>
  <c r="M26" i="25"/>
  <c r="M59" i="7"/>
  <c r="M17" i="20"/>
  <c r="M59" i="13"/>
  <c r="M17" i="14"/>
  <c r="M20" i="8"/>
  <c r="P42" i="24"/>
  <c r="P8" i="7"/>
  <c r="M48" i="12"/>
  <c r="I16" i="12"/>
  <c r="O23" i="13"/>
  <c r="M17" i="26"/>
  <c r="M42" i="17"/>
  <c r="M17" i="19"/>
  <c r="M59" i="16"/>
  <c r="P17" i="26"/>
  <c r="P18" i="15"/>
  <c r="P18" i="7"/>
  <c r="P18" i="23"/>
  <c r="N27" i="8"/>
  <c r="N27" i="9"/>
  <c r="N27" i="26"/>
  <c r="O64" i="24"/>
  <c r="M26" i="18"/>
  <c r="O23" i="25"/>
  <c r="N27" i="18"/>
  <c r="M20" i="9"/>
  <c r="P42" i="26"/>
  <c r="P8" i="21"/>
  <c r="M59" i="23"/>
  <c r="I16" i="26"/>
  <c r="O23" i="5"/>
  <c r="M26" i="22"/>
  <c r="M34" i="10"/>
  <c r="O23" i="23"/>
  <c r="M42" i="24"/>
  <c r="M34" i="8"/>
  <c r="N27" i="14"/>
  <c r="N25" i="23"/>
  <c r="M26" i="23"/>
  <c r="O23" i="19"/>
  <c r="M42" i="12"/>
  <c r="P8" i="24"/>
  <c r="I16" i="25"/>
  <c r="M34" i="23"/>
  <c r="M46" i="17"/>
  <c r="N6" i="26"/>
  <c r="O8" i="13"/>
  <c r="M57" i="5"/>
  <c r="M42" i="8"/>
  <c r="M40" i="14"/>
  <c r="O64" i="5"/>
  <c r="O64" i="17"/>
  <c r="P34" i="5"/>
  <c r="M20" i="26"/>
  <c r="M42" i="11"/>
  <c r="P42" i="14"/>
  <c r="P42" i="13"/>
  <c r="M42" i="25"/>
  <c r="O38" i="26"/>
  <c r="O19" i="7"/>
  <c r="O19" i="11"/>
  <c r="M34" i="20"/>
  <c r="M34" i="18"/>
  <c r="P9" i="16"/>
  <c r="M34" i="9"/>
  <c r="N40" i="16"/>
  <c r="P35" i="14"/>
  <c r="M9" i="19"/>
  <c r="N42" i="17"/>
  <c r="P46" i="14"/>
  <c r="M18" i="13"/>
  <c r="M60" i="25"/>
  <c r="O34" i="23"/>
  <c r="M56" i="8"/>
  <c r="P7" i="9"/>
  <c r="M6" i="8"/>
  <c r="M28" i="26"/>
  <c r="P63" i="8"/>
  <c r="O41" i="17"/>
  <c r="N41" i="18"/>
  <c r="N9" i="12"/>
  <c r="O38" i="12"/>
  <c r="O19" i="26"/>
  <c r="O19" i="17"/>
  <c r="M35" i="17"/>
  <c r="O23" i="8"/>
  <c r="M59" i="10"/>
  <c r="M20" i="16"/>
  <c r="M17" i="12"/>
  <c r="P60" i="9"/>
  <c r="N20" i="16"/>
  <c r="N27" i="16"/>
  <c r="N27" i="21"/>
  <c r="O64" i="23"/>
  <c r="M59" i="14"/>
  <c r="M39" i="16"/>
  <c r="M17" i="11"/>
  <c r="N27" i="12"/>
  <c r="O64" i="11"/>
  <c r="O64" i="21"/>
  <c r="M59" i="15"/>
  <c r="M59" i="25"/>
  <c r="M57" i="11"/>
  <c r="M39" i="10"/>
  <c r="M17" i="23"/>
  <c r="O23" i="21"/>
  <c r="M15" i="19"/>
  <c r="M20" i="7"/>
  <c r="O23" i="7"/>
  <c r="O23" i="11"/>
  <c r="P42" i="23"/>
  <c r="P42" i="5"/>
  <c r="M42" i="20"/>
  <c r="M59" i="22"/>
  <c r="O19" i="22"/>
  <c r="O15" i="17"/>
  <c r="M57" i="25"/>
  <c r="M42" i="9"/>
  <c r="O64" i="9"/>
  <c r="M59" i="18"/>
  <c r="M34" i="25"/>
  <c r="M34" i="12"/>
  <c r="M17" i="25"/>
  <c r="P10" i="23"/>
  <c r="P38" i="14"/>
  <c r="O63" i="12"/>
  <c r="O6" i="13"/>
  <c r="P15" i="9"/>
  <c r="N34" i="25"/>
  <c r="O39" i="9"/>
  <c r="O7" i="10"/>
  <c r="N63" i="26"/>
  <c r="M59" i="24"/>
  <c r="M17" i="8"/>
  <c r="O23" i="16"/>
  <c r="P42" i="11"/>
  <c r="M59" i="19"/>
  <c r="P42" i="8"/>
  <c r="M34" i="17"/>
  <c r="M34" i="19"/>
  <c r="M17" i="10"/>
  <c r="M40" i="25"/>
  <c r="P23" i="5"/>
  <c r="M23" i="18"/>
  <c r="O9" i="9"/>
  <c r="O60" i="13"/>
  <c r="O28" i="17"/>
  <c r="M54" i="7"/>
  <c r="N27" i="19"/>
  <c r="N27" i="15"/>
  <c r="N27" i="17"/>
  <c r="N27" i="10"/>
  <c r="N27" i="22"/>
  <c r="O64" i="8"/>
  <c r="M59" i="20"/>
  <c r="M17" i="13"/>
  <c r="O23" i="10"/>
  <c r="M20" i="13"/>
  <c r="M20" i="21"/>
  <c r="P42" i="25"/>
  <c r="P42" i="22"/>
  <c r="M42" i="14"/>
  <c r="M42" i="10"/>
  <c r="M42" i="19"/>
  <c r="M59" i="11"/>
  <c r="M20" i="10"/>
  <c r="M20" i="14"/>
  <c r="O23" i="24"/>
  <c r="O23" i="14"/>
  <c r="M17" i="9"/>
  <c r="M59" i="26"/>
  <c r="M20" i="15"/>
  <c r="M34" i="13"/>
  <c r="M34" i="26"/>
  <c r="N8" i="7"/>
  <c r="P40" i="26"/>
  <c r="N35" i="8"/>
  <c r="N37" i="23"/>
  <c r="P8" i="23"/>
  <c r="M26" i="9"/>
  <c r="N23" i="17"/>
  <c r="N7" i="15"/>
  <c r="M21" i="16"/>
  <c r="M15" i="22"/>
  <c r="O38" i="17"/>
  <c r="O40" i="5"/>
  <c r="M27" i="25"/>
  <c r="M39" i="24"/>
  <c r="M20" i="20"/>
  <c r="M27" i="7"/>
  <c r="O40" i="19"/>
  <c r="P42" i="16"/>
  <c r="M42" i="7"/>
  <c r="M42" i="26"/>
  <c r="O15" i="8"/>
  <c r="O23" i="18"/>
  <c r="O64" i="16"/>
  <c r="M17" i="16"/>
  <c r="P37" i="20"/>
  <c r="P39" i="21"/>
  <c r="N60" i="24"/>
  <c r="N38" i="24"/>
  <c r="N20" i="13"/>
  <c r="O64" i="15"/>
  <c r="M64" i="8"/>
  <c r="M59" i="17"/>
  <c r="M57" i="26"/>
  <c r="M17" i="18"/>
  <c r="M17" i="24"/>
  <c r="O23" i="20"/>
  <c r="O23" i="22"/>
  <c r="N20" i="12"/>
  <c r="P25" i="18"/>
  <c r="M7" i="11"/>
  <c r="M20" i="19"/>
  <c r="M20" i="17"/>
  <c r="M27" i="15"/>
  <c r="O38" i="11"/>
  <c r="P42" i="15"/>
  <c r="P42" i="12"/>
  <c r="M42" i="21"/>
  <c r="M42" i="18"/>
  <c r="O40" i="22"/>
  <c r="O19" i="10"/>
  <c r="O19" i="18"/>
  <c r="M20" i="24"/>
  <c r="O23" i="12"/>
  <c r="M17" i="17"/>
  <c r="M17" i="21"/>
  <c r="M34" i="7"/>
  <c r="M34" i="21"/>
  <c r="O64" i="25"/>
  <c r="M41" i="17"/>
  <c r="P64" i="10"/>
  <c r="M19" i="19"/>
  <c r="M8" i="16"/>
  <c r="N10" i="21"/>
  <c r="P41" i="19"/>
  <c r="N64" i="12"/>
  <c r="O37" i="5"/>
  <c r="P6" i="26"/>
  <c r="J9" i="15"/>
  <c r="I19" i="12"/>
  <c r="J23" i="24"/>
  <c r="I33" i="11"/>
  <c r="I25" i="5"/>
  <c r="L10" i="20"/>
  <c r="L10" i="13"/>
  <c r="L10" i="15"/>
  <c r="L10" i="23"/>
  <c r="L10" i="7"/>
  <c r="L10" i="26"/>
  <c r="L10" i="10"/>
  <c r="L10" i="19"/>
  <c r="L10" i="21"/>
  <c r="L10" i="25"/>
  <c r="L10" i="24"/>
  <c r="L10" i="8"/>
  <c r="L10" i="14"/>
  <c r="L10" i="11"/>
  <c r="L10" i="18"/>
  <c r="L10" i="22"/>
  <c r="L10" i="16"/>
  <c r="L10" i="9"/>
  <c r="L10" i="17"/>
  <c r="I16" i="18"/>
  <c r="I16" i="22"/>
  <c r="I22" i="15"/>
  <c r="I21" i="11"/>
  <c r="I20" i="5"/>
  <c r="I18" i="10"/>
  <c r="I26" i="26"/>
  <c r="L6" i="19"/>
  <c r="L6" i="25"/>
  <c r="L6" i="9"/>
  <c r="L6" i="20"/>
  <c r="L6" i="13"/>
  <c r="L6" i="15"/>
  <c r="L6" i="23"/>
  <c r="L6" i="7"/>
  <c r="L6" i="26"/>
  <c r="K6" i="12"/>
  <c r="L6" i="21"/>
  <c r="L6" i="17"/>
  <c r="K6" i="5"/>
  <c r="L6" i="24"/>
  <c r="L6" i="8"/>
  <c r="L6" i="14"/>
  <c r="L6" i="11"/>
  <c r="L6" i="18"/>
  <c r="L6" i="12"/>
  <c r="L6" i="22"/>
  <c r="L6" i="16"/>
  <c r="L6" i="10"/>
  <c r="J6" i="5"/>
  <c r="L10" i="5"/>
  <c r="L10" i="12"/>
  <c r="K37" i="14"/>
  <c r="L37" i="5"/>
  <c r="J8" i="5"/>
  <c r="L9" i="25"/>
  <c r="L9" i="13"/>
  <c r="L9" i="8"/>
  <c r="L9" i="23"/>
  <c r="L9" i="7"/>
  <c r="L9" i="26"/>
  <c r="L9" i="10"/>
  <c r="L9" i="19"/>
  <c r="L9" i="21"/>
  <c r="L9" i="17"/>
  <c r="L9" i="24"/>
  <c r="L9" i="11"/>
  <c r="L9" i="18"/>
  <c r="L9" i="22"/>
  <c r="L9" i="16"/>
  <c r="L9" i="9"/>
  <c r="L9" i="20"/>
  <c r="L9" i="15"/>
  <c r="L9" i="14"/>
  <c r="I16" i="7"/>
  <c r="I10" i="7"/>
  <c r="I9" i="5"/>
  <c r="I8" i="21"/>
  <c r="I63" i="9"/>
  <c r="I37" i="24"/>
  <c r="I17" i="12"/>
  <c r="L7" i="26"/>
  <c r="L7" i="21"/>
  <c r="L7" i="17"/>
  <c r="L7" i="24"/>
  <c r="L7" i="8"/>
  <c r="L7" i="14"/>
  <c r="L7" i="11"/>
  <c r="L7" i="18"/>
  <c r="L7" i="16"/>
  <c r="L7" i="9"/>
  <c r="L7" i="20"/>
  <c r="L7" i="25"/>
  <c r="L7" i="13"/>
  <c r="L7" i="15"/>
  <c r="L7" i="23"/>
  <c r="L7" i="7"/>
  <c r="L7" i="10"/>
  <c r="L7" i="19"/>
  <c r="L7" i="22"/>
  <c r="I46" i="11"/>
  <c r="L37" i="23"/>
  <c r="I27" i="13"/>
  <c r="K23" i="22"/>
  <c r="L8" i="23"/>
  <c r="L8" i="7"/>
  <c r="L8" i="26"/>
  <c r="L8" i="10"/>
  <c r="L8" i="19"/>
  <c r="L8" i="21"/>
  <c r="L8" i="17"/>
  <c r="L8" i="24"/>
  <c r="L8" i="8"/>
  <c r="L8" i="14"/>
  <c r="L8" i="11"/>
  <c r="L8" i="22"/>
  <c r="L8" i="16"/>
  <c r="L8" i="18"/>
  <c r="L8" i="9"/>
  <c r="L8" i="20"/>
  <c r="L8" i="25"/>
  <c r="L8" i="13"/>
  <c r="L8" i="15"/>
  <c r="I28" i="18"/>
  <c r="I60" i="20"/>
  <c r="J46" i="5"/>
  <c r="L34" i="17"/>
  <c r="J34" i="8"/>
  <c r="L9" i="12"/>
  <c r="L9" i="5"/>
  <c r="L46" i="12"/>
  <c r="K60" i="5"/>
  <c r="L7" i="5"/>
  <c r="L7" i="12"/>
  <c r="I23" i="12"/>
  <c r="I16" i="11"/>
  <c r="I16" i="21"/>
  <c r="I16" i="20"/>
  <c r="I6" i="15"/>
  <c r="L8" i="12"/>
  <c r="L8" i="5"/>
  <c r="I15" i="18"/>
  <c r="P17" i="18"/>
  <c r="N25" i="22"/>
  <c r="O18" i="14"/>
  <c r="E33" i="15"/>
  <c r="D33" i="15" s="1"/>
  <c r="F33" i="15"/>
  <c r="N33" i="15" s="1"/>
  <c r="H33" i="15"/>
  <c r="P33" i="15" s="1"/>
  <c r="G33" i="15"/>
  <c r="O33" i="15" s="1"/>
  <c r="H33" i="9"/>
  <c r="P33" i="9" s="1"/>
  <c r="F33" i="9"/>
  <c r="N33" i="9" s="1"/>
  <c r="G33" i="9"/>
  <c r="G33" i="5"/>
  <c r="O33" i="5" s="1"/>
  <c r="H33" i="5"/>
  <c r="P33" i="5" s="1"/>
  <c r="F33" i="21"/>
  <c r="N33" i="21" s="1"/>
  <c r="G33" i="21"/>
  <c r="O33" i="21" s="1"/>
  <c r="H33" i="21"/>
  <c r="P33" i="21" s="1"/>
  <c r="G33" i="25"/>
  <c r="O33" i="25" s="1"/>
  <c r="F33" i="25"/>
  <c r="N33" i="25" s="1"/>
  <c r="H33" i="25"/>
  <c r="P33" i="25" s="1"/>
  <c r="N20" i="19"/>
  <c r="G33" i="19"/>
  <c r="O33" i="19" s="1"/>
  <c r="H33" i="19"/>
  <c r="P33" i="19" s="1"/>
  <c r="F33" i="19"/>
  <c r="G33" i="10"/>
  <c r="O33" i="10" s="1"/>
  <c r="F33" i="10"/>
  <c r="N33" i="10" s="1"/>
  <c r="H33" i="10"/>
  <c r="P33" i="10" s="1"/>
  <c r="P20" i="10"/>
  <c r="G33" i="16"/>
  <c r="O33" i="16" s="1"/>
  <c r="H33" i="16"/>
  <c r="P33" i="16" s="1"/>
  <c r="F33" i="16"/>
  <c r="O17" i="22"/>
  <c r="O22" i="24"/>
  <c r="G33" i="13"/>
  <c r="O33" i="13" s="1"/>
  <c r="H33" i="13"/>
  <c r="P33" i="13" s="1"/>
  <c r="F33" i="13"/>
  <c r="N33" i="13" s="1"/>
  <c r="E33" i="22"/>
  <c r="H33" i="22"/>
  <c r="P33" i="22" s="1"/>
  <c r="F33" i="22"/>
  <c r="N33" i="22" s="1"/>
  <c r="G33" i="22"/>
  <c r="O33" i="22" s="1"/>
  <c r="F33" i="14"/>
  <c r="N33" i="14" s="1"/>
  <c r="G33" i="14"/>
  <c r="O33" i="14" s="1"/>
  <c r="H33" i="14"/>
  <c r="P33" i="14" s="1"/>
  <c r="F33" i="7"/>
  <c r="N33" i="7" s="1"/>
  <c r="G33" i="7"/>
  <c r="O33" i="7" s="1"/>
  <c r="H33" i="7"/>
  <c r="P33" i="7" s="1"/>
  <c r="N22" i="8"/>
  <c r="G33" i="24"/>
  <c r="O33" i="24" s="1"/>
  <c r="H33" i="24"/>
  <c r="P33" i="24" s="1"/>
  <c r="F33" i="24"/>
  <c r="N33" i="24" s="1"/>
  <c r="G33" i="26"/>
  <c r="H33" i="26"/>
  <c r="F33" i="26"/>
  <c r="N33" i="26" s="1"/>
  <c r="G33" i="11"/>
  <c r="O33" i="11" s="1"/>
  <c r="H33" i="11"/>
  <c r="P33" i="11" s="1"/>
  <c r="F33" i="11"/>
  <c r="N33" i="11" s="1"/>
  <c r="E33" i="18"/>
  <c r="D33" i="18" s="1"/>
  <c r="F33" i="18"/>
  <c r="N33" i="18" s="1"/>
  <c r="G33" i="18"/>
  <c r="O33" i="18" s="1"/>
  <c r="H33" i="18"/>
  <c r="H33" i="20"/>
  <c r="P33" i="20" s="1"/>
  <c r="F33" i="20"/>
  <c r="N33" i="20" s="1"/>
  <c r="G33" i="20"/>
  <c r="O33" i="20" s="1"/>
  <c r="M20" i="12"/>
  <c r="N28" i="25"/>
  <c r="F33" i="8"/>
  <c r="N33" i="8" s="1"/>
  <c r="G33" i="8"/>
  <c r="O33" i="8" s="1"/>
  <c r="H33" i="8"/>
  <c r="P33" i="8" s="1"/>
  <c r="H33" i="23"/>
  <c r="P33" i="23" s="1"/>
  <c r="F33" i="23"/>
  <c r="N33" i="23" s="1"/>
  <c r="G33" i="23"/>
  <c r="P33" i="18"/>
  <c r="G33" i="17"/>
  <c r="H33" i="17"/>
  <c r="P33" i="17" s="1"/>
  <c r="F33" i="17"/>
  <c r="N33" i="17" s="1"/>
  <c r="M22" i="22"/>
  <c r="N19" i="22"/>
  <c r="P22" i="8"/>
  <c r="N18" i="9"/>
  <c r="K37" i="9"/>
  <c r="K37" i="7"/>
  <c r="I20" i="20"/>
  <c r="I25" i="13"/>
  <c r="I25" i="24"/>
  <c r="I18" i="11"/>
  <c r="I9" i="15"/>
  <c r="I9" i="21"/>
  <c r="I20" i="10"/>
  <c r="K37" i="11"/>
  <c r="I25" i="16"/>
  <c r="I9" i="9"/>
  <c r="I25" i="22"/>
  <c r="K37" i="25"/>
  <c r="K37" i="24"/>
  <c r="I20" i="9"/>
  <c r="I25" i="7"/>
  <c r="I25" i="9"/>
  <c r="I9" i="17"/>
  <c r="I20" i="24"/>
  <c r="I10" i="25"/>
  <c r="I25" i="12"/>
  <c r="I25" i="20"/>
  <c r="I25" i="15"/>
  <c r="I25" i="8"/>
  <c r="K37" i="20"/>
  <c r="K37" i="18"/>
  <c r="I9" i="24"/>
  <c r="I20" i="25"/>
  <c r="I25" i="23"/>
  <c r="I25" i="25"/>
  <c r="I25" i="11"/>
  <c r="I20" i="11"/>
  <c r="I9" i="7"/>
  <c r="K37" i="23"/>
  <c r="I9" i="12"/>
  <c r="I20" i="21"/>
  <c r="I25" i="21"/>
  <c r="I25" i="26"/>
  <c r="I25" i="17"/>
  <c r="I25" i="18"/>
  <c r="I9" i="16"/>
  <c r="I25" i="10"/>
  <c r="I25" i="19"/>
  <c r="I25" i="14"/>
  <c r="P23" i="19"/>
  <c r="N38" i="20"/>
  <c r="L23" i="23"/>
  <c r="I21" i="18"/>
  <c r="I22" i="8"/>
  <c r="K60" i="8"/>
  <c r="K60" i="10"/>
  <c r="I33" i="7"/>
  <c r="M19" i="15"/>
  <c r="O37" i="11"/>
  <c r="O37" i="12"/>
  <c r="P41" i="25"/>
  <c r="P41" i="15"/>
  <c r="I21" i="7"/>
  <c r="O37" i="25"/>
  <c r="N10" i="7"/>
  <c r="P20" i="17"/>
  <c r="P20" i="26"/>
  <c r="M19" i="26"/>
  <c r="I22" i="9"/>
  <c r="M8" i="15"/>
  <c r="P6" i="7"/>
  <c r="O37" i="14"/>
  <c r="P20" i="15"/>
  <c r="M8" i="20"/>
  <c r="N64" i="18"/>
  <c r="N10" i="15"/>
  <c r="I22" i="21"/>
  <c r="I22" i="5"/>
  <c r="M19" i="7"/>
  <c r="N64" i="26"/>
  <c r="N64" i="17"/>
  <c r="O37" i="22"/>
  <c r="P41" i="20"/>
  <c r="P64" i="26"/>
  <c r="P41" i="7"/>
  <c r="O37" i="15"/>
  <c r="N64" i="24"/>
  <c r="N10" i="10"/>
  <c r="P20" i="19"/>
  <c r="O18" i="10"/>
  <c r="P6" i="8"/>
  <c r="P6" i="11"/>
  <c r="P6" i="24"/>
  <c r="M19" i="21"/>
  <c r="M19" i="20"/>
  <c r="I22" i="24"/>
  <c r="M8" i="8"/>
  <c r="I22" i="25"/>
  <c r="P6" i="16"/>
  <c r="P20" i="11"/>
  <c r="O18" i="24"/>
  <c r="O37" i="24"/>
  <c r="O18" i="11"/>
  <c r="P6" i="23"/>
  <c r="N10" i="20"/>
  <c r="M19" i="11"/>
  <c r="N64" i="22"/>
  <c r="O37" i="10"/>
  <c r="P41" i="24"/>
  <c r="P64" i="21"/>
  <c r="P41" i="23"/>
  <c r="O37" i="13"/>
  <c r="M41" i="8"/>
  <c r="N10" i="22"/>
  <c r="P20" i="16"/>
  <c r="I33" i="20"/>
  <c r="P6" i="10"/>
  <c r="I27" i="9"/>
  <c r="M19" i="12"/>
  <c r="M8" i="10"/>
  <c r="I22" i="23"/>
  <c r="M8" i="12"/>
  <c r="M8" i="9"/>
  <c r="P6" i="5"/>
  <c r="M8" i="25"/>
  <c r="N10" i="17"/>
  <c r="O37" i="17"/>
  <c r="N10" i="14"/>
  <c r="P41" i="16"/>
  <c r="M19" i="23"/>
  <c r="N64" i="10"/>
  <c r="N64" i="5"/>
  <c r="O37" i="16"/>
  <c r="P41" i="13"/>
  <c r="O37" i="20"/>
  <c r="N10" i="26"/>
  <c r="O18" i="23"/>
  <c r="I22" i="22"/>
  <c r="M8" i="19"/>
  <c r="I22" i="12"/>
  <c r="M8" i="22"/>
  <c r="M8" i="18"/>
  <c r="P6" i="18"/>
  <c r="P6" i="13"/>
  <c r="P6" i="19"/>
  <c r="N64" i="23"/>
  <c r="N64" i="7"/>
  <c r="M19" i="16"/>
  <c r="P41" i="22"/>
  <c r="J9" i="9"/>
  <c r="P39" i="12"/>
  <c r="O60" i="20"/>
  <c r="M46" i="7"/>
  <c r="M46" i="20"/>
  <c r="M46" i="13"/>
  <c r="M23" i="17"/>
  <c r="P39" i="16"/>
  <c r="M46" i="16"/>
  <c r="O60" i="11"/>
  <c r="M46" i="22"/>
  <c r="N7" i="14"/>
  <c r="O9" i="23"/>
  <c r="P39" i="19"/>
  <c r="M46" i="11"/>
  <c r="N38" i="25"/>
  <c r="J9" i="16"/>
  <c r="N25" i="18"/>
  <c r="N25" i="24"/>
  <c r="I23" i="17"/>
  <c r="M26" i="15"/>
  <c r="P17" i="24"/>
  <c r="N25" i="25"/>
  <c r="P8" i="15"/>
  <c r="P8" i="13"/>
  <c r="I22" i="13"/>
  <c r="I22" i="7"/>
  <c r="N8" i="23"/>
  <c r="I16" i="5"/>
  <c r="N25" i="17"/>
  <c r="I16" i="9"/>
  <c r="M26" i="21"/>
  <c r="M26" i="12"/>
  <c r="N35" i="22"/>
  <c r="N16" i="18"/>
  <c r="N25" i="14"/>
  <c r="N37" i="15"/>
  <c r="M26" i="7"/>
  <c r="P18" i="24"/>
  <c r="P18" i="18"/>
  <c r="P8" i="17"/>
  <c r="P8" i="11"/>
  <c r="I22" i="26"/>
  <c r="I22" i="11"/>
  <c r="N8" i="15"/>
  <c r="P54" i="19"/>
  <c r="P8" i="26"/>
  <c r="I16" i="23"/>
  <c r="I16" i="17"/>
  <c r="N25" i="5"/>
  <c r="P17" i="12"/>
  <c r="M26" i="10"/>
  <c r="P18" i="13"/>
  <c r="J9" i="7"/>
  <c r="I17" i="18"/>
  <c r="N25" i="15"/>
  <c r="M26" i="11"/>
  <c r="P8" i="19"/>
  <c r="P8" i="8"/>
  <c r="P8" i="18"/>
  <c r="P8" i="22"/>
  <c r="I22" i="17"/>
  <c r="I22" i="16"/>
  <c r="I16" i="8"/>
  <c r="I16" i="13"/>
  <c r="I16" i="19"/>
  <c r="P18" i="11"/>
  <c r="N25" i="20"/>
  <c r="M26" i="5"/>
  <c r="M26" i="19"/>
  <c r="N25" i="13"/>
  <c r="M26" i="14"/>
  <c r="N25" i="16"/>
  <c r="P8" i="20"/>
  <c r="P8" i="9"/>
  <c r="I22" i="18"/>
  <c r="N8" i="9"/>
  <c r="I16" i="14"/>
  <c r="P18" i="14"/>
  <c r="P17" i="20"/>
  <c r="N8" i="10"/>
  <c r="M26" i="16"/>
  <c r="M9" i="11"/>
  <c r="I63" i="17"/>
  <c r="L37" i="11"/>
  <c r="N38" i="16"/>
  <c r="I37" i="18"/>
  <c r="N42" i="15"/>
  <c r="P35" i="21"/>
  <c r="M23" i="9"/>
  <c r="O9" i="16"/>
  <c r="J60" i="23"/>
  <c r="N23" i="12"/>
  <c r="P23" i="10"/>
  <c r="L37" i="18"/>
  <c r="O60" i="23"/>
  <c r="P37" i="10"/>
  <c r="M54" i="19"/>
  <c r="P35" i="18"/>
  <c r="O28" i="20"/>
  <c r="M9" i="20"/>
  <c r="M9" i="23"/>
  <c r="N40" i="17"/>
  <c r="P35" i="15"/>
  <c r="N42" i="9"/>
  <c r="O21" i="18"/>
  <c r="L37" i="26"/>
  <c r="L37" i="15"/>
  <c r="K60" i="9"/>
  <c r="I19" i="7"/>
  <c r="O28" i="11"/>
  <c r="I63" i="23"/>
  <c r="L37" i="12"/>
  <c r="P23" i="23"/>
  <c r="N63" i="14"/>
  <c r="N38" i="13"/>
  <c r="O9" i="21"/>
  <c r="N38" i="10"/>
  <c r="N40" i="21"/>
  <c r="M23" i="7"/>
  <c r="J60" i="20"/>
  <c r="J60" i="25"/>
  <c r="N42" i="21"/>
  <c r="P37" i="9"/>
  <c r="N63" i="5"/>
  <c r="N38" i="18"/>
  <c r="N38" i="14"/>
  <c r="N60" i="7"/>
  <c r="N40" i="18"/>
  <c r="N42" i="16"/>
  <c r="N40" i="8"/>
  <c r="N42" i="13"/>
  <c r="N63" i="9"/>
  <c r="N42" i="18"/>
  <c r="O21" i="14"/>
  <c r="M9" i="9"/>
  <c r="J9" i="24"/>
  <c r="J60" i="16"/>
  <c r="J9" i="25"/>
  <c r="N63" i="13"/>
  <c r="P35" i="24"/>
  <c r="P35" i="8"/>
  <c r="J9" i="5"/>
  <c r="O9" i="18"/>
  <c r="J60" i="14"/>
  <c r="J60" i="17"/>
  <c r="J60" i="7"/>
  <c r="J60" i="8"/>
  <c r="J60" i="9"/>
  <c r="I63" i="22"/>
  <c r="J9" i="11"/>
  <c r="P37" i="5"/>
  <c r="I28" i="21"/>
  <c r="M9" i="24"/>
  <c r="O28" i="24"/>
  <c r="I37" i="25"/>
  <c r="M9" i="18"/>
  <c r="M9" i="26"/>
  <c r="P23" i="26"/>
  <c r="I63" i="21"/>
  <c r="J9" i="10"/>
  <c r="N63" i="21"/>
  <c r="N65" i="21" s="1"/>
  <c r="N63" i="18"/>
  <c r="M9" i="7"/>
  <c r="N42" i="14"/>
  <c r="P35" i="19"/>
  <c r="N38" i="12"/>
  <c r="O60" i="25"/>
  <c r="N40" i="19"/>
  <c r="P35" i="9"/>
  <c r="N42" i="12"/>
  <c r="N38" i="26"/>
  <c r="N40" i="22"/>
  <c r="P35" i="25"/>
  <c r="N42" i="8"/>
  <c r="L37" i="16"/>
  <c r="P35" i="5"/>
  <c r="N60" i="8"/>
  <c r="M35" i="16"/>
  <c r="N63" i="10"/>
  <c r="P35" i="7"/>
  <c r="N40" i="11"/>
  <c r="J9" i="17"/>
  <c r="N63" i="23"/>
  <c r="N40" i="7"/>
  <c r="N40" i="14"/>
  <c r="P35" i="13"/>
  <c r="N42" i="23"/>
  <c r="N42" i="5"/>
  <c r="I63" i="15"/>
  <c r="M23" i="25"/>
  <c r="O9" i="19"/>
  <c r="J60" i="18"/>
  <c r="J60" i="15"/>
  <c r="J60" i="11"/>
  <c r="J60" i="21"/>
  <c r="I63" i="8"/>
  <c r="J9" i="18"/>
  <c r="I17" i="16"/>
  <c r="M9" i="14"/>
  <c r="M9" i="21"/>
  <c r="O28" i="7"/>
  <c r="P23" i="22"/>
  <c r="J9" i="22"/>
  <c r="N63" i="7"/>
  <c r="N40" i="9"/>
  <c r="N40" i="20"/>
  <c r="P35" i="23"/>
  <c r="M23" i="13"/>
  <c r="N42" i="26"/>
  <c r="N42" i="7"/>
  <c r="K60" i="14"/>
  <c r="N40" i="12"/>
  <c r="P35" i="20"/>
  <c r="M54" i="26"/>
  <c r="M22" i="18"/>
  <c r="M54" i="17"/>
  <c r="J9" i="8"/>
  <c r="I63" i="7"/>
  <c r="N40" i="24"/>
  <c r="M9" i="5"/>
  <c r="J60" i="13"/>
  <c r="N40" i="5"/>
  <c r="N40" i="25"/>
  <c r="J9" i="20"/>
  <c r="I17" i="19"/>
  <c r="M9" i="25"/>
  <c r="J9" i="26"/>
  <c r="N40" i="15"/>
  <c r="P35" i="12"/>
  <c r="N42" i="19"/>
  <c r="N42" i="10"/>
  <c r="J9" i="14"/>
  <c r="O9" i="10"/>
  <c r="J60" i="19"/>
  <c r="J60" i="10"/>
  <c r="J9" i="23"/>
  <c r="P37" i="17"/>
  <c r="M9" i="8"/>
  <c r="N22" i="11"/>
  <c r="O28" i="14"/>
  <c r="I63" i="12"/>
  <c r="I8" i="20"/>
  <c r="M9" i="16"/>
  <c r="I17" i="8"/>
  <c r="I63" i="13"/>
  <c r="J9" i="19"/>
  <c r="N63" i="22"/>
  <c r="N63" i="15"/>
  <c r="P27" i="12"/>
  <c r="N38" i="11"/>
  <c r="O60" i="5"/>
  <c r="N40" i="23"/>
  <c r="N42" i="24"/>
  <c r="P35" i="11"/>
  <c r="N42" i="11"/>
  <c r="N40" i="10"/>
  <c r="P35" i="17"/>
  <c r="M9" i="10"/>
  <c r="P35" i="10"/>
  <c r="N63" i="19"/>
  <c r="N42" i="20"/>
  <c r="N38" i="5"/>
  <c r="M9" i="17"/>
  <c r="N42" i="25"/>
  <c r="M22" i="8"/>
  <c r="J60" i="24"/>
  <c r="M9" i="15"/>
  <c r="I63" i="11"/>
  <c r="M9" i="12"/>
  <c r="N63" i="8"/>
  <c r="P35" i="22"/>
  <c r="N63" i="12"/>
  <c r="J9" i="12"/>
  <c r="O9" i="22"/>
  <c r="J60" i="12"/>
  <c r="J60" i="22"/>
  <c r="J60" i="26"/>
  <c r="I63" i="14"/>
  <c r="J9" i="21"/>
  <c r="N57" i="25"/>
  <c r="N41" i="8"/>
  <c r="M9" i="13"/>
  <c r="N22" i="24"/>
  <c r="O28" i="13"/>
  <c r="I63" i="18"/>
  <c r="I8" i="25"/>
  <c r="M9" i="22"/>
  <c r="J9" i="13"/>
  <c r="N63" i="20"/>
  <c r="N63" i="11"/>
  <c r="P27" i="13"/>
  <c r="N38" i="22"/>
  <c r="O60" i="16"/>
  <c r="N40" i="26"/>
  <c r="O9" i="25"/>
  <c r="P35" i="16"/>
  <c r="N42" i="22"/>
  <c r="N40" i="13"/>
  <c r="P35" i="26"/>
  <c r="L37" i="7"/>
  <c r="N38" i="21"/>
  <c r="N48" i="23"/>
  <c r="I26" i="22"/>
  <c r="I17" i="10"/>
  <c r="I17" i="5"/>
  <c r="I26" i="24"/>
  <c r="I17" i="11"/>
  <c r="I37" i="19"/>
  <c r="L37" i="25"/>
  <c r="M54" i="25"/>
  <c r="L37" i="20"/>
  <c r="I37" i="9"/>
  <c r="I17" i="14"/>
  <c r="O21" i="16"/>
  <c r="M28" i="11"/>
  <c r="N20" i="10"/>
  <c r="O9" i="26"/>
  <c r="L37" i="10"/>
  <c r="P55" i="23"/>
  <c r="I19" i="19"/>
  <c r="I17" i="21"/>
  <c r="I17" i="7"/>
  <c r="O28" i="23"/>
  <c r="I37" i="13"/>
  <c r="I17" i="24"/>
  <c r="K60" i="16"/>
  <c r="P17" i="7"/>
  <c r="P23" i="7"/>
  <c r="L37" i="17"/>
  <c r="M46" i="10"/>
  <c r="N38" i="7"/>
  <c r="O60" i="9"/>
  <c r="M21" i="12"/>
  <c r="P27" i="16"/>
  <c r="P10" i="19"/>
  <c r="N8" i="20"/>
  <c r="M46" i="8"/>
  <c r="P17" i="16"/>
  <c r="J58" i="13"/>
  <c r="P17" i="21"/>
  <c r="M54" i="24"/>
  <c r="N60" i="21"/>
  <c r="N48" i="9"/>
  <c r="N23" i="5"/>
  <c r="I17" i="25"/>
  <c r="I19" i="25"/>
  <c r="I37" i="8"/>
  <c r="I26" i="13"/>
  <c r="L23" i="21"/>
  <c r="O9" i="7"/>
  <c r="L37" i="14"/>
  <c r="I17" i="26"/>
  <c r="I17" i="17"/>
  <c r="I17" i="15"/>
  <c r="O28" i="15"/>
  <c r="N34" i="8"/>
  <c r="I37" i="15"/>
  <c r="P17" i="11"/>
  <c r="N23" i="25"/>
  <c r="P23" i="16"/>
  <c r="L37" i="9"/>
  <c r="M46" i="9"/>
  <c r="I33" i="17"/>
  <c r="P10" i="10"/>
  <c r="N38" i="17"/>
  <c r="O60" i="24"/>
  <c r="O21" i="26"/>
  <c r="O9" i="15"/>
  <c r="N8" i="18"/>
  <c r="N38" i="9"/>
  <c r="I37" i="23"/>
  <c r="N60" i="23"/>
  <c r="N38" i="23"/>
  <c r="N28" i="18"/>
  <c r="I17" i="9"/>
  <c r="I17" i="23"/>
  <c r="P10" i="21"/>
  <c r="O9" i="11"/>
  <c r="O39" i="15"/>
  <c r="P59" i="10"/>
  <c r="I17" i="22"/>
  <c r="I17" i="20"/>
  <c r="I17" i="13"/>
  <c r="O28" i="8"/>
  <c r="I37" i="5"/>
  <c r="L23" i="11"/>
  <c r="J23" i="20"/>
  <c r="N23" i="9"/>
  <c r="M46" i="24"/>
  <c r="O60" i="17"/>
  <c r="N38" i="8"/>
  <c r="O21" i="9"/>
  <c r="L37" i="21"/>
  <c r="L59" i="10"/>
  <c r="N60" i="16"/>
  <c r="M54" i="10"/>
  <c r="N38" i="19"/>
  <c r="N38" i="15"/>
  <c r="M55" i="26"/>
  <c r="M55" i="16"/>
  <c r="M55" i="22"/>
  <c r="M55" i="10"/>
  <c r="M55" i="19"/>
  <c r="M55" i="11"/>
  <c r="M55" i="21"/>
  <c r="M55" i="14"/>
  <c r="M55" i="9"/>
  <c r="M55" i="23"/>
  <c r="M55" i="7"/>
  <c r="M55" i="20"/>
  <c r="M55" i="25"/>
  <c r="M55" i="15"/>
  <c r="M10" i="17"/>
  <c r="M10" i="14"/>
  <c r="M10" i="5"/>
  <c r="M10" i="8"/>
  <c r="M10" i="22"/>
  <c r="M10" i="20"/>
  <c r="M10" i="25"/>
  <c r="M10" i="13"/>
  <c r="M10" i="15"/>
  <c r="M10" i="10"/>
  <c r="M10" i="9"/>
  <c r="M10" i="16"/>
  <c r="M10" i="7"/>
  <c r="M10" i="11"/>
  <c r="M10" i="12"/>
  <c r="M10" i="26"/>
  <c r="I26" i="18"/>
  <c r="I26" i="7"/>
  <c r="I26" i="15"/>
  <c r="I26" i="12"/>
  <c r="I26" i="21"/>
  <c r="I26" i="25"/>
  <c r="I26" i="16"/>
  <c r="I26" i="23"/>
  <c r="I26" i="11"/>
  <c r="I26" i="9"/>
  <c r="M28" i="23"/>
  <c r="J37" i="11"/>
  <c r="K23" i="23"/>
  <c r="P7" i="21"/>
  <c r="M18" i="11"/>
  <c r="M55" i="18"/>
  <c r="J37" i="8"/>
  <c r="J37" i="22"/>
  <c r="I26" i="14"/>
  <c r="I26" i="8"/>
  <c r="P46" i="21"/>
  <c r="M18" i="24"/>
  <c r="M40" i="17"/>
  <c r="K23" i="14"/>
  <c r="M10" i="21"/>
  <c r="M40" i="19"/>
  <c r="P28" i="15"/>
  <c r="P28" i="13"/>
  <c r="P28" i="26"/>
  <c r="P28" i="14"/>
  <c r="P28" i="19"/>
  <c r="P19" i="18"/>
  <c r="P19" i="10"/>
  <c r="P19" i="24"/>
  <c r="P19" i="13"/>
  <c r="P19" i="9"/>
  <c r="P19" i="12"/>
  <c r="P19" i="16"/>
  <c r="P19" i="17"/>
  <c r="P19" i="11"/>
  <c r="P19" i="23"/>
  <c r="P19" i="22"/>
  <c r="P19" i="21"/>
  <c r="P19" i="15"/>
  <c r="P19" i="14"/>
  <c r="P19" i="7"/>
  <c r="P19" i="19"/>
  <c r="P19" i="20"/>
  <c r="P19" i="25"/>
  <c r="P19" i="8"/>
  <c r="P19" i="26"/>
  <c r="M55" i="13"/>
  <c r="P10" i="9"/>
  <c r="P10" i="20"/>
  <c r="P10" i="11"/>
  <c r="P10" i="18"/>
  <c r="P10" i="7"/>
  <c r="P10" i="8"/>
  <c r="P10" i="26"/>
  <c r="P10" i="5"/>
  <c r="P10" i="24"/>
  <c r="P10" i="13"/>
  <c r="P10" i="22"/>
  <c r="P10" i="16"/>
  <c r="P10" i="25"/>
  <c r="P10" i="12"/>
  <c r="P10" i="14"/>
  <c r="P10" i="17"/>
  <c r="P10" i="15"/>
  <c r="M60" i="10"/>
  <c r="M60" i="21"/>
  <c r="M60" i="8"/>
  <c r="M60" i="17"/>
  <c r="M60" i="15"/>
  <c r="M60" i="13"/>
  <c r="M60" i="7"/>
  <c r="M60" i="18"/>
  <c r="M60" i="14"/>
  <c r="M60" i="9"/>
  <c r="M60" i="11"/>
  <c r="M60" i="26"/>
  <c r="M60" i="22"/>
  <c r="M60" i="23"/>
  <c r="M60" i="12"/>
  <c r="M60" i="24"/>
  <c r="M60" i="5"/>
  <c r="I26" i="10"/>
  <c r="M55" i="24"/>
  <c r="K23" i="16"/>
  <c r="M18" i="22"/>
  <c r="M40" i="20"/>
  <c r="P60" i="12"/>
  <c r="M60" i="19"/>
  <c r="N28" i="9"/>
  <c r="J23" i="13"/>
  <c r="J23" i="22"/>
  <c r="J23" i="8"/>
  <c r="J23" i="10"/>
  <c r="J23" i="7"/>
  <c r="O27" i="19"/>
  <c r="O27" i="17"/>
  <c r="O27" i="25"/>
  <c r="O27" i="26"/>
  <c r="O27" i="9"/>
  <c r="O27" i="7"/>
  <c r="O27" i="12"/>
  <c r="M28" i="14"/>
  <c r="J37" i="21"/>
  <c r="I26" i="19"/>
  <c r="M55" i="17"/>
  <c r="M18" i="12"/>
  <c r="M18" i="21"/>
  <c r="K23" i="7"/>
  <c r="M60" i="16"/>
  <c r="O27" i="21"/>
  <c r="M10" i="18"/>
  <c r="P60" i="16"/>
  <c r="P60" i="14"/>
  <c r="P60" i="19"/>
  <c r="P60" i="18"/>
  <c r="P60" i="24"/>
  <c r="P60" i="23"/>
  <c r="P60" i="13"/>
  <c r="P60" i="15"/>
  <c r="P60" i="11"/>
  <c r="P60" i="7"/>
  <c r="P60" i="21"/>
  <c r="P60" i="25"/>
  <c r="P60" i="20"/>
  <c r="P60" i="17"/>
  <c r="P60" i="10"/>
  <c r="P60" i="22"/>
  <c r="P60" i="26"/>
  <c r="K23" i="10"/>
  <c r="K23" i="18"/>
  <c r="K23" i="13"/>
  <c r="K23" i="19"/>
  <c r="K23" i="8"/>
  <c r="K23" i="24"/>
  <c r="K23" i="26"/>
  <c r="K23" i="15"/>
  <c r="P38" i="20"/>
  <c r="P38" i="17"/>
  <c r="P38" i="19"/>
  <c r="P38" i="10"/>
  <c r="P38" i="23"/>
  <c r="P38" i="12"/>
  <c r="P38" i="25"/>
  <c r="P38" i="8"/>
  <c r="P38" i="21"/>
  <c r="P38" i="13"/>
  <c r="P38" i="9"/>
  <c r="P38" i="18"/>
  <c r="P38" i="22"/>
  <c r="P38" i="26"/>
  <c r="P38" i="7"/>
  <c r="P38" i="11"/>
  <c r="P38" i="16"/>
  <c r="P46" i="5"/>
  <c r="P46" i="18"/>
  <c r="P46" i="11"/>
  <c r="P46" i="26"/>
  <c r="P46" i="16"/>
  <c r="P46" i="22"/>
  <c r="P46" i="19"/>
  <c r="P46" i="12"/>
  <c r="P46" i="7"/>
  <c r="P46" i="8"/>
  <c r="P46" i="25"/>
  <c r="P46" i="15"/>
  <c r="P46" i="9"/>
  <c r="P46" i="13"/>
  <c r="P46" i="23"/>
  <c r="O34" i="19"/>
  <c r="O34" i="20"/>
  <c r="O34" i="11"/>
  <c r="O34" i="26"/>
  <c r="O34" i="25"/>
  <c r="O34" i="22"/>
  <c r="O34" i="18"/>
  <c r="O34" i="9"/>
  <c r="O34" i="15"/>
  <c r="O34" i="16"/>
  <c r="O34" i="24"/>
  <c r="O34" i="7"/>
  <c r="O34" i="12"/>
  <c r="O34" i="13"/>
  <c r="O34" i="10"/>
  <c r="O34" i="8"/>
  <c r="M6" i="5"/>
  <c r="M6" i="18"/>
  <c r="M6" i="15"/>
  <c r="M6" i="26"/>
  <c r="M6" i="12"/>
  <c r="M6" i="25"/>
  <c r="M6" i="13"/>
  <c r="M6" i="10"/>
  <c r="M6" i="16"/>
  <c r="M6" i="24"/>
  <c r="M6" i="11"/>
  <c r="M6" i="7"/>
  <c r="M6" i="21"/>
  <c r="M6" i="22"/>
  <c r="M6" i="23"/>
  <c r="M6" i="9"/>
  <c r="M6" i="14"/>
  <c r="M6" i="17"/>
  <c r="M6" i="19"/>
  <c r="M28" i="8"/>
  <c r="I26" i="17"/>
  <c r="P60" i="5"/>
  <c r="M10" i="24"/>
  <c r="O34" i="5"/>
  <c r="O34" i="14"/>
  <c r="J23" i="21"/>
  <c r="I26" i="20"/>
  <c r="P46" i="20"/>
  <c r="M60" i="20"/>
  <c r="P38" i="24"/>
  <c r="M6" i="20"/>
  <c r="P46" i="10"/>
  <c r="M10" i="23"/>
  <c r="O34" i="17"/>
  <c r="O34" i="21"/>
  <c r="I10" i="19"/>
  <c r="I10" i="16"/>
  <c r="M40" i="16"/>
  <c r="M40" i="26"/>
  <c r="M40" i="7"/>
  <c r="M40" i="11"/>
  <c r="M40" i="5"/>
  <c r="M40" i="12"/>
  <c r="M40" i="22"/>
  <c r="M40" i="9"/>
  <c r="M40" i="10"/>
  <c r="M40" i="21"/>
  <c r="M40" i="18"/>
  <c r="M40" i="23"/>
  <c r="M40" i="8"/>
  <c r="M40" i="15"/>
  <c r="M40" i="24"/>
  <c r="P33" i="26"/>
  <c r="P60" i="8"/>
  <c r="N56" i="14"/>
  <c r="N58" i="13"/>
  <c r="M18" i="20"/>
  <c r="M18" i="18"/>
  <c r="M18" i="26"/>
  <c r="M18" i="23"/>
  <c r="M18" i="9"/>
  <c r="M18" i="25"/>
  <c r="M18" i="5"/>
  <c r="M18" i="16"/>
  <c r="M18" i="8"/>
  <c r="M18" i="10"/>
  <c r="M18" i="19"/>
  <c r="M18" i="17"/>
  <c r="M18" i="7"/>
  <c r="M18" i="14"/>
  <c r="N28" i="14"/>
  <c r="N28" i="11"/>
  <c r="N28" i="8"/>
  <c r="N28" i="20"/>
  <c r="N28" i="24"/>
  <c r="N28" i="15"/>
  <c r="P58" i="15"/>
  <c r="M28" i="16"/>
  <c r="M28" i="17"/>
  <c r="M28" i="12"/>
  <c r="M28" i="22"/>
  <c r="M28" i="19"/>
  <c r="M28" i="20"/>
  <c r="M28" i="25"/>
  <c r="M28" i="5"/>
  <c r="M28" i="9"/>
  <c r="M28" i="15"/>
  <c r="M28" i="21"/>
  <c r="M28" i="7"/>
  <c r="M28" i="24"/>
  <c r="M28" i="18"/>
  <c r="M28" i="13"/>
  <c r="M28" i="10"/>
  <c r="J37" i="23"/>
  <c r="K23" i="21"/>
  <c r="P46" i="24"/>
  <c r="K23" i="25"/>
  <c r="I26" i="5"/>
  <c r="P46" i="17"/>
  <c r="M18" i="15"/>
  <c r="M40" i="13"/>
  <c r="P38" i="5"/>
  <c r="P38" i="15"/>
  <c r="M10" i="19"/>
  <c r="N28" i="13"/>
  <c r="O19" i="12"/>
  <c r="O19" i="21"/>
  <c r="O19" i="9"/>
  <c r="O19" i="19"/>
  <c r="O19" i="20"/>
  <c r="O19" i="25"/>
  <c r="J37" i="20"/>
  <c r="K23" i="12"/>
  <c r="K23" i="17"/>
  <c r="O21" i="11"/>
  <c r="J37" i="12"/>
  <c r="J37" i="15"/>
  <c r="J37" i="24"/>
  <c r="O21" i="23"/>
  <c r="J37" i="17"/>
  <c r="J37" i="7"/>
  <c r="J37" i="13"/>
  <c r="M39" i="19"/>
  <c r="M39" i="23"/>
  <c r="O19" i="13"/>
  <c r="I58" i="5"/>
  <c r="M27" i="8"/>
  <c r="O38" i="14"/>
  <c r="O38" i="8"/>
  <c r="O40" i="16"/>
  <c r="N60" i="26"/>
  <c r="N39" i="19"/>
  <c r="N39" i="17"/>
  <c r="O21" i="10"/>
  <c r="O21" i="22"/>
  <c r="O21" i="19"/>
  <c r="I37" i="10"/>
  <c r="I37" i="11"/>
  <c r="I37" i="12"/>
  <c r="J37" i="14"/>
  <c r="J37" i="19"/>
  <c r="J37" i="16"/>
  <c r="J37" i="9"/>
  <c r="J37" i="10"/>
  <c r="L60" i="15"/>
  <c r="I23" i="15"/>
  <c r="M39" i="26"/>
  <c r="O19" i="23"/>
  <c r="N34" i="7"/>
  <c r="I37" i="21"/>
  <c r="I37" i="14"/>
  <c r="M27" i="13"/>
  <c r="O40" i="11"/>
  <c r="I37" i="16"/>
  <c r="I37" i="7"/>
  <c r="M39" i="21"/>
  <c r="M39" i="13"/>
  <c r="K60" i="18"/>
  <c r="K60" i="13"/>
  <c r="K60" i="19"/>
  <c r="I21" i="5"/>
  <c r="I21" i="22"/>
  <c r="O38" i="7"/>
  <c r="O38" i="13"/>
  <c r="O38" i="15"/>
  <c r="O38" i="10"/>
  <c r="O38" i="9"/>
  <c r="O38" i="20"/>
  <c r="O38" i="16"/>
  <c r="O38" i="23"/>
  <c r="O38" i="22"/>
  <c r="O38" i="5"/>
  <c r="O38" i="21"/>
  <c r="O21" i="7"/>
  <c r="J37" i="18"/>
  <c r="J37" i="26"/>
  <c r="K23" i="20"/>
  <c r="I21" i="24"/>
  <c r="I23" i="21"/>
  <c r="N39" i="16"/>
  <c r="M39" i="7"/>
  <c r="O19" i="15"/>
  <c r="I37" i="17"/>
  <c r="K23" i="9"/>
  <c r="I21" i="16"/>
  <c r="M27" i="19"/>
  <c r="M27" i="5"/>
  <c r="O38" i="25"/>
  <c r="O38" i="19"/>
  <c r="O40" i="7"/>
  <c r="O40" i="21"/>
  <c r="I23" i="20"/>
  <c r="I37" i="26"/>
  <c r="M39" i="15"/>
  <c r="M39" i="9"/>
  <c r="P17" i="19"/>
  <c r="P17" i="13"/>
  <c r="P17" i="9"/>
  <c r="P17" i="25"/>
  <c r="P17" i="22"/>
  <c r="P17" i="10"/>
  <c r="P17" i="15"/>
  <c r="P17" i="17"/>
  <c r="N8" i="16"/>
  <c r="N8" i="22"/>
  <c r="N8" i="17"/>
  <c r="N8" i="26"/>
  <c r="N8" i="24"/>
  <c r="N8" i="5"/>
  <c r="N8" i="13"/>
  <c r="N8" i="14"/>
  <c r="N8" i="21"/>
  <c r="N8" i="8"/>
  <c r="O9" i="24"/>
  <c r="O9" i="20"/>
  <c r="O9" i="13"/>
  <c r="O9" i="5"/>
  <c r="O9" i="8"/>
  <c r="O9" i="17"/>
  <c r="O9" i="14"/>
  <c r="O9" i="12"/>
  <c r="N60" i="19"/>
  <c r="N60" i="11"/>
  <c r="N60" i="10"/>
  <c r="N60" i="13"/>
  <c r="N60" i="20"/>
  <c r="N60" i="12"/>
  <c r="N60" i="5"/>
  <c r="N60" i="15"/>
  <c r="N60" i="22"/>
  <c r="N60" i="17"/>
  <c r="N60" i="18"/>
  <c r="N60" i="14"/>
  <c r="N60" i="9"/>
  <c r="N60" i="25"/>
  <c r="O60" i="8"/>
  <c r="O60" i="12"/>
  <c r="O60" i="19"/>
  <c r="O60" i="10"/>
  <c r="O60" i="21"/>
  <c r="O60" i="26"/>
  <c r="O60" i="7"/>
  <c r="O60" i="15"/>
  <c r="O60" i="22"/>
  <c r="O60" i="14"/>
  <c r="O60" i="18"/>
  <c r="O28" i="12"/>
  <c r="O28" i="9"/>
  <c r="O28" i="26"/>
  <c r="O28" i="10"/>
  <c r="O28" i="22"/>
  <c r="O28" i="19"/>
  <c r="O28" i="16"/>
  <c r="O28" i="5"/>
  <c r="O28" i="25"/>
  <c r="O28" i="21"/>
  <c r="N48" i="18"/>
  <c r="N48" i="24"/>
  <c r="M54" i="11"/>
  <c r="M54" i="13"/>
  <c r="M54" i="14"/>
  <c r="M54" i="20"/>
  <c r="M54" i="8"/>
  <c r="M54" i="22"/>
  <c r="M54" i="21"/>
  <c r="M54" i="18"/>
  <c r="M54" i="9"/>
  <c r="M54" i="12"/>
  <c r="M54" i="16"/>
  <c r="O40" i="9"/>
  <c r="O40" i="17"/>
  <c r="O40" i="10"/>
  <c r="O40" i="24"/>
  <c r="O40" i="25"/>
  <c r="O40" i="20"/>
  <c r="O40" i="12"/>
  <c r="O40" i="14"/>
  <c r="O40" i="8"/>
  <c r="M39" i="12"/>
  <c r="M39" i="8"/>
  <c r="M39" i="17"/>
  <c r="M39" i="20"/>
  <c r="J37" i="25"/>
  <c r="I21" i="15"/>
  <c r="I21" i="19"/>
  <c r="N39" i="10"/>
  <c r="M39" i="11"/>
  <c r="O63" i="23"/>
  <c r="O19" i="8"/>
  <c r="I37" i="20"/>
  <c r="O38" i="24"/>
  <c r="O21" i="12"/>
  <c r="O40" i="26"/>
  <c r="O40" i="18"/>
  <c r="O19" i="16"/>
  <c r="I37" i="22"/>
  <c r="M39" i="25"/>
  <c r="M39" i="5"/>
  <c r="L58" i="15"/>
  <c r="K23" i="11"/>
  <c r="K37" i="22"/>
  <c r="O17" i="7"/>
  <c r="O17" i="13"/>
  <c r="O17" i="24"/>
  <c r="O17" i="23"/>
  <c r="O17" i="8"/>
  <c r="O17" i="14"/>
  <c r="O17" i="11"/>
  <c r="O17" i="15"/>
  <c r="O17" i="21"/>
  <c r="O17" i="9"/>
  <c r="O17" i="18"/>
  <c r="O17" i="25"/>
  <c r="O41" i="14"/>
  <c r="O41" i="9"/>
  <c r="O41" i="25"/>
  <c r="O41" i="13"/>
  <c r="O41" i="15"/>
  <c r="O41" i="20"/>
  <c r="O41" i="5"/>
  <c r="O41" i="12"/>
  <c r="O41" i="11"/>
  <c r="O41" i="19"/>
  <c r="O41" i="23"/>
  <c r="O41" i="10"/>
  <c r="O41" i="8"/>
  <c r="O41" i="7"/>
  <c r="O26" i="11"/>
  <c r="O26" i="7"/>
  <c r="O26" i="17"/>
  <c r="O26" i="25"/>
  <c r="O26" i="12"/>
  <c r="O26" i="15"/>
  <c r="O26" i="9"/>
  <c r="O26" i="13"/>
  <c r="O26" i="21"/>
  <c r="O39" i="5"/>
  <c r="O17" i="12"/>
  <c r="P26" i="17"/>
  <c r="P26" i="12"/>
  <c r="P26" i="5"/>
  <c r="P26" i="21"/>
  <c r="P26" i="15"/>
  <c r="P26" i="22"/>
  <c r="N7" i="18"/>
  <c r="N7" i="5"/>
  <c r="N7" i="22"/>
  <c r="N7" i="11"/>
  <c r="N7" i="26"/>
  <c r="N7" i="7"/>
  <c r="N7" i="12"/>
  <c r="N7" i="23"/>
  <c r="N7" i="19"/>
  <c r="N7" i="16"/>
  <c r="N7" i="24"/>
  <c r="N7" i="13"/>
  <c r="N7" i="20"/>
  <c r="M63" i="19"/>
  <c r="M63" i="8"/>
  <c r="M63" i="20"/>
  <c r="M63" i="5"/>
  <c r="M63" i="25"/>
  <c r="M63" i="17"/>
  <c r="M63" i="15"/>
  <c r="M63" i="18"/>
  <c r="M63" i="14"/>
  <c r="M63" i="24"/>
  <c r="M63" i="23"/>
  <c r="M63" i="10"/>
  <c r="M63" i="21"/>
  <c r="M63" i="16"/>
  <c r="M63" i="22"/>
  <c r="M63" i="9"/>
  <c r="N34" i="26"/>
  <c r="N34" i="12"/>
  <c r="N34" i="19"/>
  <c r="N34" i="22"/>
  <c r="N34" i="20"/>
  <c r="N34" i="17"/>
  <c r="N34" i="21"/>
  <c r="N34" i="16"/>
  <c r="N34" i="24"/>
  <c r="N34" i="13"/>
  <c r="N34" i="9"/>
  <c r="N34" i="10"/>
  <c r="N34" i="14"/>
  <c r="N34" i="23"/>
  <c r="N34" i="5"/>
  <c r="N34" i="11"/>
  <c r="N34" i="18"/>
  <c r="O41" i="22"/>
  <c r="P26" i="23"/>
  <c r="N19" i="18"/>
  <c r="P15" i="23"/>
  <c r="N22" i="12"/>
  <c r="N22" i="21"/>
  <c r="N22" i="26"/>
  <c r="N22" i="20"/>
  <c r="N22" i="9"/>
  <c r="N22" i="10"/>
  <c r="N22" i="16"/>
  <c r="N22" i="17"/>
  <c r="N22" i="23"/>
  <c r="N22" i="19"/>
  <c r="N22" i="15"/>
  <c r="N22" i="18"/>
  <c r="L23" i="17"/>
  <c r="N16" i="19"/>
  <c r="O17" i="10"/>
  <c r="L60" i="19"/>
  <c r="O39" i="8"/>
  <c r="P39" i="18"/>
  <c r="P64" i="5"/>
  <c r="I23" i="13"/>
  <c r="O41" i="24"/>
  <c r="O63" i="22"/>
  <c r="N22" i="7"/>
  <c r="N34" i="15"/>
  <c r="I33" i="24"/>
  <c r="M63" i="7"/>
  <c r="O39" i="23"/>
  <c r="M63" i="13"/>
  <c r="N6" i="16"/>
  <c r="I60" i="23"/>
  <c r="I60" i="14"/>
  <c r="I60" i="18"/>
  <c r="I60" i="10"/>
  <c r="I60" i="19"/>
  <c r="I60" i="15"/>
  <c r="I60" i="9"/>
  <c r="I60" i="21"/>
  <c r="I60" i="13"/>
  <c r="I60" i="11"/>
  <c r="I60" i="8"/>
  <c r="I60" i="24"/>
  <c r="O63" i="8"/>
  <c r="O63" i="13"/>
  <c r="O65" i="13" s="1"/>
  <c r="O63" i="15"/>
  <c r="O63" i="17"/>
  <c r="O63" i="25"/>
  <c r="O63" i="20"/>
  <c r="O63" i="21"/>
  <c r="O63" i="9"/>
  <c r="O63" i="18"/>
  <c r="O63" i="26"/>
  <c r="O63" i="24"/>
  <c r="O63" i="7"/>
  <c r="O63" i="14"/>
  <c r="O63" i="11"/>
  <c r="O63" i="19"/>
  <c r="N19" i="19"/>
  <c r="N19" i="9"/>
  <c r="N19" i="21"/>
  <c r="N19" i="25"/>
  <c r="N19" i="17"/>
  <c r="N19" i="8"/>
  <c r="N19" i="11"/>
  <c r="N19" i="26"/>
  <c r="N19" i="24"/>
  <c r="N19" i="15"/>
  <c r="N19" i="20"/>
  <c r="N19" i="7"/>
  <c r="N19" i="16"/>
  <c r="N19" i="13"/>
  <c r="N19" i="14"/>
  <c r="N19" i="10"/>
  <c r="O6" i="14"/>
  <c r="O6" i="7"/>
  <c r="O6" i="5"/>
  <c r="O6" i="12"/>
  <c r="O6" i="9"/>
  <c r="O6" i="15"/>
  <c r="O6" i="26"/>
  <c r="O6" i="17"/>
  <c r="O6" i="21"/>
  <c r="O6" i="18"/>
  <c r="O6" i="24"/>
  <c r="O6" i="8"/>
  <c r="O6" i="10"/>
  <c r="O6" i="20"/>
  <c r="P15" i="20"/>
  <c r="P15" i="8"/>
  <c r="P15" i="12"/>
  <c r="P15" i="26"/>
  <c r="P15" i="25"/>
  <c r="P15" i="18"/>
  <c r="P15" i="14"/>
  <c r="P15" i="11"/>
  <c r="P15" i="21"/>
  <c r="P15" i="10"/>
  <c r="P15" i="7"/>
  <c r="P15" i="16"/>
  <c r="P15" i="22"/>
  <c r="P15" i="24"/>
  <c r="O41" i="21"/>
  <c r="L60" i="8"/>
  <c r="L60" i="21"/>
  <c r="L60" i="17"/>
  <c r="L60" i="5"/>
  <c r="L60" i="9"/>
  <c r="L60" i="18"/>
  <c r="L60" i="11"/>
  <c r="N20" i="11"/>
  <c r="N20" i="14"/>
  <c r="N20" i="8"/>
  <c r="N20" i="7"/>
  <c r="N20" i="24"/>
  <c r="N20" i="18"/>
  <c r="N20" i="26"/>
  <c r="N20" i="17"/>
  <c r="N20" i="22"/>
  <c r="N20" i="20"/>
  <c r="N20" i="15"/>
  <c r="N20" i="9"/>
  <c r="M37" i="5"/>
  <c r="M37" i="26"/>
  <c r="M37" i="11"/>
  <c r="M37" i="7"/>
  <c r="M37" i="10"/>
  <c r="M37" i="18"/>
  <c r="M37" i="22"/>
  <c r="M37" i="12"/>
  <c r="M37" i="20"/>
  <c r="M37" i="23"/>
  <c r="M37" i="24"/>
  <c r="M37" i="17"/>
  <c r="M37" i="9"/>
  <c r="M37" i="13"/>
  <c r="M37" i="16"/>
  <c r="M37" i="19"/>
  <c r="M37" i="15"/>
  <c r="M37" i="21"/>
  <c r="N39" i="12"/>
  <c r="N39" i="20"/>
  <c r="N39" i="25"/>
  <c r="N39" i="14"/>
  <c r="N39" i="21"/>
  <c r="N39" i="15"/>
  <c r="N39" i="24"/>
  <c r="N39" i="13"/>
  <c r="N39" i="8"/>
  <c r="N39" i="7"/>
  <c r="N39" i="11"/>
  <c r="N39" i="9"/>
  <c r="N39" i="18"/>
  <c r="N39" i="5"/>
  <c r="N39" i="22"/>
  <c r="N39" i="23"/>
  <c r="I23" i="18"/>
  <c r="I23" i="10"/>
  <c r="O39" i="18"/>
  <c r="P27" i="9"/>
  <c r="P22" i="20"/>
  <c r="N20" i="23"/>
  <c r="I9" i="20"/>
  <c r="I9" i="19"/>
  <c r="I9" i="10"/>
  <c r="I9" i="22"/>
  <c r="I9" i="8"/>
  <c r="I9" i="23"/>
  <c r="I9" i="26"/>
  <c r="I9" i="14"/>
  <c r="I9" i="13"/>
  <c r="I9" i="11"/>
  <c r="I33" i="16"/>
  <c r="I33" i="15"/>
  <c r="I33" i="25"/>
  <c r="I33" i="19"/>
  <c r="I33" i="18"/>
  <c r="I33" i="22"/>
  <c r="I33" i="26"/>
  <c r="I33" i="23"/>
  <c r="I33" i="14"/>
  <c r="I33" i="12"/>
  <c r="I33" i="13"/>
  <c r="I33" i="9"/>
  <c r="I33" i="5"/>
  <c r="I33" i="8"/>
  <c r="I33" i="10"/>
  <c r="O8" i="11"/>
  <c r="O8" i="25"/>
  <c r="O8" i="10"/>
  <c r="O8" i="24"/>
  <c r="O8" i="26"/>
  <c r="O8" i="19"/>
  <c r="O8" i="15"/>
  <c r="O8" i="22"/>
  <c r="O8" i="7"/>
  <c r="O8" i="14"/>
  <c r="O8" i="17"/>
  <c r="O8" i="18"/>
  <c r="O8" i="8"/>
  <c r="O8" i="5"/>
  <c r="O8" i="21"/>
  <c r="O8" i="20"/>
  <c r="O8" i="9"/>
  <c r="I27" i="5"/>
  <c r="I27" i="21"/>
  <c r="I27" i="7"/>
  <c r="I27" i="8"/>
  <c r="I27" i="17"/>
  <c r="I27" i="25"/>
  <c r="I27" i="24"/>
  <c r="I27" i="12"/>
  <c r="I27" i="14"/>
  <c r="L23" i="8"/>
  <c r="L23" i="22"/>
  <c r="L23" i="14"/>
  <c r="L23" i="24"/>
  <c r="L23" i="19"/>
  <c r="I15" i="20"/>
  <c r="I15" i="10"/>
  <c r="I15" i="19"/>
  <c r="I15" i="17"/>
  <c r="I15" i="21"/>
  <c r="I15" i="5"/>
  <c r="I15" i="22"/>
  <c r="I15" i="15"/>
  <c r="I15" i="9"/>
  <c r="I15" i="24"/>
  <c r="I15" i="11"/>
  <c r="P37" i="7"/>
  <c r="P37" i="19"/>
  <c r="P37" i="12"/>
  <c r="P37" i="23"/>
  <c r="P37" i="26"/>
  <c r="P37" i="11"/>
  <c r="P37" i="22"/>
  <c r="P37" i="15"/>
  <c r="P37" i="25"/>
  <c r="P37" i="16"/>
  <c r="P37" i="8"/>
  <c r="P37" i="24"/>
  <c r="P37" i="18"/>
  <c r="P37" i="14"/>
  <c r="P37" i="21"/>
  <c r="M23" i="24"/>
  <c r="M23" i="11"/>
  <c r="M23" i="14"/>
  <c r="M23" i="5"/>
  <c r="M23" i="15"/>
  <c r="M23" i="12"/>
  <c r="M23" i="10"/>
  <c r="M23" i="23"/>
  <c r="M23" i="16"/>
  <c r="M23" i="22"/>
  <c r="M23" i="20"/>
  <c r="P39" i="14"/>
  <c r="P39" i="9"/>
  <c r="P39" i="25"/>
  <c r="P39" i="13"/>
  <c r="P39" i="5"/>
  <c r="P39" i="22"/>
  <c r="P39" i="15"/>
  <c r="P39" i="26"/>
  <c r="P39" i="17"/>
  <c r="P39" i="7"/>
  <c r="P39" i="20"/>
  <c r="P39" i="10"/>
  <c r="M64" i="12"/>
  <c r="M64" i="26"/>
  <c r="M64" i="16"/>
  <c r="M64" i="10"/>
  <c r="M64" i="25"/>
  <c r="M64" i="22"/>
  <c r="M64" i="5"/>
  <c r="M64" i="9"/>
  <c r="M64" i="21"/>
  <c r="M64" i="17"/>
  <c r="M64" i="11"/>
  <c r="M64" i="7"/>
  <c r="M64" i="23"/>
  <c r="M64" i="13"/>
  <c r="M64" i="18"/>
  <c r="M38" i="7"/>
  <c r="M38" i="14"/>
  <c r="M38" i="8"/>
  <c r="M38" i="9"/>
  <c r="M38" i="24"/>
  <c r="M38" i="17"/>
  <c r="M38" i="13"/>
  <c r="M38" i="16"/>
  <c r="M38" i="18"/>
  <c r="M38" i="19"/>
  <c r="M38" i="10"/>
  <c r="M38" i="25"/>
  <c r="M38" i="20"/>
  <c r="M38" i="12"/>
  <c r="M38" i="22"/>
  <c r="M38" i="5"/>
  <c r="M38" i="15"/>
  <c r="M38" i="23"/>
  <c r="M38" i="11"/>
  <c r="M38" i="26"/>
  <c r="O42" i="5"/>
  <c r="O42" i="24"/>
  <c r="O42" i="22"/>
  <c r="O42" i="9"/>
  <c r="O42" i="25"/>
  <c r="O42" i="7"/>
  <c r="O42" i="14"/>
  <c r="O42" i="12"/>
  <c r="O42" i="13"/>
  <c r="O42" i="21"/>
  <c r="O42" i="23"/>
  <c r="O42" i="11"/>
  <c r="O42" i="15"/>
  <c r="O42" i="8"/>
  <c r="O42" i="18"/>
  <c r="O42" i="16"/>
  <c r="O42" i="10"/>
  <c r="O42" i="17"/>
  <c r="O42" i="19"/>
  <c r="O42" i="20"/>
  <c r="P25" i="12"/>
  <c r="P25" i="5"/>
  <c r="P25" i="26"/>
  <c r="P25" i="20"/>
  <c r="P25" i="16"/>
  <c r="P25" i="17"/>
  <c r="P25" i="21"/>
  <c r="P25" i="25"/>
  <c r="P25" i="10"/>
  <c r="P25" i="9"/>
  <c r="P25" i="22"/>
  <c r="P25" i="19"/>
  <c r="P25" i="15"/>
  <c r="P25" i="14"/>
  <c r="P25" i="8"/>
  <c r="P25" i="13"/>
  <c r="P25" i="23"/>
  <c r="P25" i="7"/>
  <c r="P25" i="24"/>
  <c r="M15" i="5"/>
  <c r="M15" i="7"/>
  <c r="M15" i="14"/>
  <c r="M15" i="8"/>
  <c r="M15" i="15"/>
  <c r="M15" i="18"/>
  <c r="M15" i="12"/>
  <c r="M15" i="13"/>
  <c r="M15" i="24"/>
  <c r="M15" i="23"/>
  <c r="M15" i="9"/>
  <c r="M15" i="26"/>
  <c r="M15" i="17"/>
  <c r="M15" i="11"/>
  <c r="M15" i="21"/>
  <c r="N55" i="21"/>
  <c r="N55" i="9"/>
  <c r="P16" i="26"/>
  <c r="P16" i="16"/>
  <c r="P16" i="22"/>
  <c r="P16" i="9"/>
  <c r="P16" i="12"/>
  <c r="P16" i="24"/>
  <c r="P16" i="18"/>
  <c r="P16" i="13"/>
  <c r="P16" i="15"/>
  <c r="P16" i="14"/>
  <c r="P16" i="8"/>
  <c r="N41" i="12"/>
  <c r="N41" i="11"/>
  <c r="N41" i="23"/>
  <c r="N41" i="19"/>
  <c r="N41" i="7"/>
  <c r="N41" i="5"/>
  <c r="N41" i="26"/>
  <c r="N41" i="16"/>
  <c r="N41" i="21"/>
  <c r="N41" i="14"/>
  <c r="N41" i="9"/>
  <c r="N41" i="17"/>
  <c r="N41" i="10"/>
  <c r="N41" i="24"/>
  <c r="N41" i="25"/>
  <c r="M21" i="14"/>
  <c r="M21" i="15"/>
  <c r="M21" i="18"/>
  <c r="M21" i="7"/>
  <c r="M21" i="24"/>
  <c r="M21" i="8"/>
  <c r="M21" i="25"/>
  <c r="M21" i="21"/>
  <c r="M21" i="23"/>
  <c r="M21" i="19"/>
  <c r="M21" i="5"/>
  <c r="M21" i="17"/>
  <c r="M21" i="13"/>
  <c r="M21" i="11"/>
  <c r="M21" i="20"/>
  <c r="M21" i="26"/>
  <c r="M21" i="9"/>
  <c r="M15" i="25"/>
  <c r="M23" i="21"/>
  <c r="N7" i="17"/>
  <c r="O17" i="20"/>
  <c r="O41" i="26"/>
  <c r="P37" i="13"/>
  <c r="I9" i="18"/>
  <c r="I9" i="25"/>
  <c r="N41" i="15"/>
  <c r="N37" i="14"/>
  <c r="O6" i="25"/>
  <c r="N18" i="20"/>
  <c r="L60" i="20"/>
  <c r="P26" i="9"/>
  <c r="M63" i="11"/>
  <c r="O8" i="16"/>
  <c r="M23" i="8"/>
  <c r="P22" i="17"/>
  <c r="M38" i="21"/>
  <c r="M56" i="10"/>
  <c r="M56" i="9"/>
  <c r="M56" i="16"/>
  <c r="M56" i="13"/>
  <c r="M56" i="18"/>
  <c r="M56" i="7"/>
  <c r="M56" i="22"/>
  <c r="M56" i="15"/>
  <c r="M56" i="26"/>
  <c r="M56" i="24"/>
  <c r="M56" i="21"/>
  <c r="M56" i="11"/>
  <c r="M56" i="14"/>
  <c r="M56" i="19"/>
  <c r="M56" i="17"/>
  <c r="M56" i="12"/>
  <c r="O26" i="20"/>
  <c r="I23" i="9"/>
  <c r="I23" i="19"/>
  <c r="I23" i="22"/>
  <c r="I23" i="16"/>
  <c r="I23" i="23"/>
  <c r="I23" i="25"/>
  <c r="I23" i="14"/>
  <c r="I23" i="26"/>
  <c r="I23" i="8"/>
  <c r="I23" i="11"/>
  <c r="O15" i="23"/>
  <c r="O15" i="26"/>
  <c r="O15" i="7"/>
  <c r="O15" i="22"/>
  <c r="O15" i="16"/>
  <c r="O15" i="21"/>
  <c r="O15" i="14"/>
  <c r="O15" i="18"/>
  <c r="O15" i="9"/>
  <c r="O15" i="25"/>
  <c r="O15" i="15"/>
  <c r="O15" i="11"/>
  <c r="O15" i="24"/>
  <c r="O15" i="10"/>
  <c r="O15" i="13"/>
  <c r="O15" i="12"/>
  <c r="O15" i="20"/>
  <c r="P27" i="5"/>
  <c r="P27" i="17"/>
  <c r="P27" i="8"/>
  <c r="P27" i="20"/>
  <c r="P27" i="19"/>
  <c r="P27" i="10"/>
  <c r="P27" i="24"/>
  <c r="P27" i="25"/>
  <c r="P27" i="22"/>
  <c r="P27" i="26"/>
  <c r="P27" i="14"/>
  <c r="P27" i="21"/>
  <c r="N59" i="19"/>
  <c r="N59" i="26"/>
  <c r="M58" i="16"/>
  <c r="M58" i="14"/>
  <c r="M58" i="21"/>
  <c r="M58" i="18"/>
  <c r="M58" i="25"/>
  <c r="M58" i="7"/>
  <c r="M58" i="15"/>
  <c r="M58" i="5"/>
  <c r="M58" i="19"/>
  <c r="M58" i="8"/>
  <c r="M58" i="9"/>
  <c r="N7" i="8"/>
  <c r="M37" i="14"/>
  <c r="O6" i="19"/>
  <c r="L60" i="7"/>
  <c r="M63" i="12"/>
  <c r="M56" i="25"/>
  <c r="P15" i="13"/>
  <c r="I8" i="23"/>
  <c r="I8" i="15"/>
  <c r="I8" i="18"/>
  <c r="I8" i="22"/>
  <c r="I8" i="11"/>
  <c r="I8" i="19"/>
  <c r="P64" i="24"/>
  <c r="P64" i="12"/>
  <c r="P64" i="8"/>
  <c r="P64" i="11"/>
  <c r="P64" i="13"/>
  <c r="P64" i="15"/>
  <c r="P64" i="16"/>
  <c r="P64" i="7"/>
  <c r="P64" i="22"/>
  <c r="P64" i="25"/>
  <c r="N16" i="20"/>
  <c r="N16" i="14"/>
  <c r="N16" i="9"/>
  <c r="N16" i="15"/>
  <c r="N16" i="13"/>
  <c r="N16" i="8"/>
  <c r="N16" i="24"/>
  <c r="N16" i="22"/>
  <c r="N46" i="16"/>
  <c r="N46" i="22"/>
  <c r="N46" i="19"/>
  <c r="N46" i="10"/>
  <c r="N46" i="26"/>
  <c r="N46" i="20"/>
  <c r="N46" i="12"/>
  <c r="N46" i="21"/>
  <c r="N46" i="15"/>
  <c r="N46" i="17"/>
  <c r="N46" i="11"/>
  <c r="N46" i="25"/>
  <c r="N46" i="23"/>
  <c r="N46" i="9"/>
  <c r="N46" i="13"/>
  <c r="N46" i="14"/>
  <c r="N46" i="5"/>
  <c r="N46" i="8"/>
  <c r="N46" i="7"/>
  <c r="N46" i="18"/>
  <c r="N35" i="12"/>
  <c r="N35" i="10"/>
  <c r="N35" i="5"/>
  <c r="N35" i="16"/>
  <c r="N35" i="9"/>
  <c r="N35" i="17"/>
  <c r="N35" i="25"/>
  <c r="N35" i="26"/>
  <c r="N35" i="19"/>
  <c r="N35" i="7"/>
  <c r="N35" i="24"/>
  <c r="N35" i="18"/>
  <c r="N35" i="11"/>
  <c r="N35" i="20"/>
  <c r="N35" i="13"/>
  <c r="N35" i="23"/>
  <c r="N37" i="22"/>
  <c r="N37" i="5"/>
  <c r="N37" i="26"/>
  <c r="N37" i="11"/>
  <c r="N37" i="19"/>
  <c r="N37" i="12"/>
  <c r="N37" i="10"/>
  <c r="N37" i="24"/>
  <c r="N37" i="18"/>
  <c r="N37" i="13"/>
  <c r="N37" i="20"/>
  <c r="N37" i="7"/>
  <c r="N37" i="25"/>
  <c r="N37" i="16"/>
  <c r="N37" i="21"/>
  <c r="N37" i="17"/>
  <c r="O56" i="25"/>
  <c r="O17" i="19"/>
  <c r="L60" i="23"/>
  <c r="O41" i="16"/>
  <c r="P39" i="23"/>
  <c r="P64" i="9"/>
  <c r="P39" i="8"/>
  <c r="N41" i="13"/>
  <c r="N37" i="8"/>
  <c r="M37" i="8"/>
  <c r="O63" i="16"/>
  <c r="O6" i="16"/>
  <c r="M21" i="10"/>
  <c r="N35" i="14"/>
  <c r="P25" i="11"/>
  <c r="O8" i="23"/>
  <c r="O8" i="12"/>
  <c r="P15" i="17"/>
  <c r="M56" i="20"/>
  <c r="P64" i="18"/>
  <c r="O6" i="23"/>
  <c r="N35" i="21"/>
  <c r="O39" i="19"/>
  <c r="O39" i="10"/>
  <c r="O39" i="12"/>
  <c r="O39" i="26"/>
  <c r="O39" i="7"/>
  <c r="O39" i="22"/>
  <c r="O39" i="20"/>
  <c r="O39" i="11"/>
  <c r="O39" i="17"/>
  <c r="O39" i="16"/>
  <c r="O39" i="14"/>
  <c r="O39" i="21"/>
  <c r="O39" i="24"/>
  <c r="O22" i="5"/>
  <c r="O22" i="16"/>
  <c r="O22" i="26"/>
  <c r="O22" i="15"/>
  <c r="O22" i="8"/>
  <c r="O22" i="23"/>
  <c r="O22" i="11"/>
  <c r="O22" i="10"/>
  <c r="O22" i="18"/>
  <c r="O22" i="22"/>
  <c r="O22" i="17"/>
  <c r="O22" i="9"/>
  <c r="O22" i="21"/>
  <c r="O22" i="20"/>
  <c r="O22" i="7"/>
  <c r="P22" i="15"/>
  <c r="P22" i="7"/>
  <c r="P22" i="24"/>
  <c r="P22" i="23"/>
  <c r="P22" i="11"/>
  <c r="P22" i="21"/>
  <c r="P22" i="26"/>
  <c r="P22" i="9"/>
  <c r="P22" i="10"/>
  <c r="P22" i="19"/>
  <c r="P22" i="16"/>
  <c r="P22" i="18"/>
  <c r="P7" i="22"/>
  <c r="P7" i="7"/>
  <c r="P7" i="11"/>
  <c r="P7" i="26"/>
  <c r="P7" i="18"/>
  <c r="P7" i="5"/>
  <c r="P7" i="12"/>
  <c r="P7" i="8"/>
  <c r="P7" i="19"/>
  <c r="P7" i="25"/>
  <c r="P7" i="15"/>
  <c r="P7" i="10"/>
  <c r="P7" i="13"/>
  <c r="P7" i="24"/>
  <c r="P7" i="14"/>
  <c r="P7" i="20"/>
  <c r="O17" i="26"/>
  <c r="O55" i="19"/>
  <c r="O57" i="23"/>
  <c r="N6" i="22"/>
  <c r="N6" i="15"/>
  <c r="N6" i="17"/>
  <c r="N6" i="8"/>
  <c r="N6" i="18"/>
  <c r="N6" i="24"/>
  <c r="N6" i="5"/>
  <c r="N6" i="19"/>
  <c r="N6" i="7"/>
  <c r="N6" i="14"/>
  <c r="N6" i="9"/>
  <c r="N6" i="21"/>
  <c r="N6" i="13"/>
  <c r="N6" i="12"/>
  <c r="N6" i="23"/>
  <c r="N6" i="25"/>
  <c r="N6" i="11"/>
  <c r="N6" i="20"/>
  <c r="N33" i="16"/>
  <c r="N33" i="19"/>
  <c r="N18" i="13"/>
  <c r="N18" i="11"/>
  <c r="N18" i="18"/>
  <c r="N18" i="7"/>
  <c r="N18" i="14"/>
  <c r="N18" i="19"/>
  <c r="N18" i="24"/>
  <c r="N18" i="8"/>
  <c r="N18" i="15"/>
  <c r="N18" i="22"/>
  <c r="N18" i="23"/>
  <c r="O41" i="18"/>
  <c r="N39" i="26"/>
  <c r="N7" i="9"/>
  <c r="O17" i="17"/>
  <c r="O39" i="25"/>
  <c r="M41" i="26"/>
  <c r="M41" i="18"/>
  <c r="M41" i="16"/>
  <c r="M41" i="23"/>
  <c r="M41" i="10"/>
  <c r="M41" i="7"/>
  <c r="M41" i="22"/>
  <c r="M41" i="11"/>
  <c r="M41" i="19"/>
  <c r="M41" i="5"/>
  <c r="M41" i="21"/>
  <c r="M41" i="14"/>
  <c r="M41" i="9"/>
  <c r="M41" i="25"/>
  <c r="M41" i="15"/>
  <c r="M41" i="24"/>
  <c r="M41" i="13"/>
  <c r="M41" i="20"/>
  <c r="M13" i="11"/>
  <c r="M13" i="17"/>
  <c r="M13" i="7"/>
  <c r="M13" i="10"/>
  <c r="M13" i="19"/>
  <c r="M13" i="22"/>
  <c r="P40" i="10"/>
  <c r="P40" i="14"/>
  <c r="P40" i="19"/>
  <c r="P40" i="16"/>
  <c r="P40" i="20"/>
  <c r="P40" i="17"/>
  <c r="P40" i="22"/>
  <c r="P40" i="13"/>
  <c r="P40" i="15"/>
  <c r="P40" i="21"/>
  <c r="P40" i="18"/>
  <c r="P40" i="24"/>
  <c r="P40" i="25"/>
  <c r="P40" i="7"/>
  <c r="P40" i="9"/>
  <c r="P40" i="8"/>
  <c r="P40" i="5"/>
  <c r="P40" i="23"/>
  <c r="P40" i="12"/>
  <c r="O54" i="12"/>
  <c r="O54" i="10"/>
  <c r="O54" i="22"/>
  <c r="O48" i="7"/>
  <c r="O48" i="16"/>
  <c r="O48" i="8"/>
  <c r="O48" i="20"/>
  <c r="O48" i="10"/>
  <c r="O48" i="26"/>
  <c r="O48" i="15"/>
  <c r="O48" i="21"/>
  <c r="M15" i="16"/>
  <c r="M23" i="19"/>
  <c r="N7" i="21"/>
  <c r="N20" i="21"/>
  <c r="M15" i="10"/>
  <c r="M23" i="26"/>
  <c r="N7" i="25"/>
  <c r="N20" i="25"/>
  <c r="O17" i="16"/>
  <c r="L60" i="14"/>
  <c r="N19" i="12"/>
  <c r="O39" i="13"/>
  <c r="P39" i="11"/>
  <c r="P64" i="17"/>
  <c r="I23" i="24"/>
  <c r="I15" i="7"/>
  <c r="I60" i="5"/>
  <c r="P39" i="24"/>
  <c r="N41" i="20"/>
  <c r="N37" i="9"/>
  <c r="M37" i="25"/>
  <c r="O63" i="10"/>
  <c r="O6" i="22"/>
  <c r="M21" i="22"/>
  <c r="N35" i="15"/>
  <c r="P7" i="17"/>
  <c r="P26" i="13"/>
  <c r="P15" i="15"/>
  <c r="I33" i="21"/>
  <c r="I8" i="14"/>
  <c r="N6" i="10"/>
  <c r="M58" i="13"/>
  <c r="O6" i="11"/>
  <c r="M13" i="16"/>
  <c r="P7" i="16"/>
  <c r="P7" i="23"/>
  <c r="O63" i="5"/>
  <c r="N19" i="23"/>
  <c r="O22" i="19"/>
  <c r="P40" i="11"/>
  <c r="N7" i="10"/>
  <c r="M41" i="12"/>
  <c r="M63" i="26"/>
  <c r="L23" i="18"/>
  <c r="J59" i="19"/>
  <c r="L60" i="13"/>
  <c r="L60" i="16"/>
  <c r="I20" i="15"/>
  <c r="I20" i="7"/>
  <c r="I20" i="12"/>
  <c r="I20" i="18"/>
  <c r="I20" i="23"/>
  <c r="I20" i="13"/>
  <c r="I20" i="14"/>
  <c r="I20" i="8"/>
  <c r="I20" i="22"/>
  <c r="I20" i="16"/>
  <c r="I20" i="19"/>
  <c r="I20" i="26"/>
  <c r="I20" i="17"/>
  <c r="P9" i="18"/>
  <c r="P9" i="25"/>
  <c r="P9" i="7"/>
  <c r="P9" i="5"/>
  <c r="P9" i="20"/>
  <c r="P9" i="24"/>
  <c r="P9" i="23"/>
  <c r="P9" i="11"/>
  <c r="P9" i="15"/>
  <c r="I18" i="5"/>
  <c r="I18" i="24"/>
  <c r="I18" i="21"/>
  <c r="I18" i="15"/>
  <c r="I18" i="12"/>
  <c r="I18" i="20"/>
  <c r="I18" i="8"/>
  <c r="I18" i="14"/>
  <c r="I18" i="16"/>
  <c r="I18" i="26"/>
  <c r="I18" i="9"/>
  <c r="I18" i="22"/>
  <c r="I18" i="17"/>
  <c r="I18" i="18"/>
  <c r="I18" i="25"/>
  <c r="I18" i="13"/>
  <c r="I18" i="19"/>
  <c r="I18" i="7"/>
  <c r="I18" i="23"/>
  <c r="K37" i="5"/>
  <c r="K37" i="10"/>
  <c r="K37" i="17"/>
  <c r="K37" i="26"/>
  <c r="K37" i="21"/>
  <c r="K37" i="16"/>
  <c r="K37" i="15"/>
  <c r="K37" i="8"/>
  <c r="L60" i="22"/>
  <c r="L60" i="26"/>
  <c r="K37" i="12"/>
  <c r="L23" i="16"/>
  <c r="L60" i="24"/>
  <c r="L60" i="10"/>
  <c r="K37" i="13"/>
  <c r="I60" i="25"/>
  <c r="L60" i="25"/>
  <c r="K37" i="19"/>
  <c r="N63" i="25"/>
  <c r="N63" i="16"/>
  <c r="N63" i="24"/>
  <c r="N63" i="17"/>
  <c r="I22" i="20"/>
  <c r="I22" i="10"/>
  <c r="I22" i="19"/>
  <c r="J59" i="26"/>
  <c r="N28" i="5"/>
  <c r="N28" i="17"/>
  <c r="N28" i="16"/>
  <c r="N28" i="12"/>
  <c r="N28" i="7"/>
  <c r="N28" i="22"/>
  <c r="N28" i="23"/>
  <c r="N28" i="10"/>
  <c r="N28" i="21"/>
  <c r="N28" i="19"/>
  <c r="N28" i="26"/>
  <c r="P28" i="7"/>
  <c r="M27" i="9"/>
  <c r="M27" i="21"/>
  <c r="M27" i="23"/>
  <c r="M27" i="18"/>
  <c r="M27" i="22"/>
  <c r="M27" i="20"/>
  <c r="M27" i="16"/>
  <c r="M27" i="10"/>
  <c r="M27" i="26"/>
  <c r="M27" i="17"/>
  <c r="N10" i="12"/>
  <c r="N10" i="8"/>
  <c r="N10" i="24"/>
  <c r="M34" i="16"/>
  <c r="M34" i="15"/>
  <c r="M34" i="22"/>
  <c r="M34" i="14"/>
  <c r="P48" i="14"/>
  <c r="I10" i="11"/>
  <c r="I10" i="21"/>
  <c r="M22" i="25"/>
  <c r="I28" i="16"/>
  <c r="I19" i="20"/>
  <c r="I28" i="24"/>
  <c r="I10" i="8"/>
  <c r="N23" i="26"/>
  <c r="I19" i="14"/>
  <c r="M22" i="13"/>
  <c r="M22" i="5"/>
  <c r="J23" i="17"/>
  <c r="K60" i="7"/>
  <c r="I28" i="25"/>
  <c r="I21" i="23"/>
  <c r="I19" i="16"/>
  <c r="I15" i="23"/>
  <c r="I21" i="26"/>
  <c r="I15" i="16"/>
  <c r="K60" i="22"/>
  <c r="I8" i="9"/>
  <c r="I10" i="18"/>
  <c r="I10" i="24"/>
  <c r="J23" i="16"/>
  <c r="K60" i="24"/>
  <c r="M35" i="12"/>
  <c r="I21" i="25"/>
  <c r="K54" i="22"/>
  <c r="J23" i="9"/>
  <c r="N23" i="19"/>
  <c r="M46" i="14"/>
  <c r="M46" i="5"/>
  <c r="I27" i="20"/>
  <c r="I27" i="19"/>
  <c r="I10" i="26"/>
  <c r="I10" i="5"/>
  <c r="J23" i="23"/>
  <c r="M46" i="25"/>
  <c r="L23" i="26"/>
  <c r="O27" i="20"/>
  <c r="O27" i="22"/>
  <c r="O27" i="11"/>
  <c r="J23" i="14"/>
  <c r="L23" i="15"/>
  <c r="I28" i="13"/>
  <c r="P9" i="22"/>
  <c r="I19" i="8"/>
  <c r="M22" i="24"/>
  <c r="M22" i="11"/>
  <c r="P28" i="12"/>
  <c r="M35" i="24"/>
  <c r="M35" i="26"/>
  <c r="K60" i="15"/>
  <c r="N23" i="20"/>
  <c r="I10" i="17"/>
  <c r="I28" i="7"/>
  <c r="M22" i="23"/>
  <c r="J23" i="18"/>
  <c r="K60" i="20"/>
  <c r="K60" i="11"/>
  <c r="K60" i="21"/>
  <c r="L23" i="25"/>
  <c r="I28" i="22"/>
  <c r="I28" i="20"/>
  <c r="I21" i="13"/>
  <c r="I21" i="12"/>
  <c r="I19" i="9"/>
  <c r="I15" i="13"/>
  <c r="I15" i="12"/>
  <c r="I21" i="17"/>
  <c r="I19" i="15"/>
  <c r="I28" i="14"/>
  <c r="I8" i="16"/>
  <c r="I10" i="14"/>
  <c r="K60" i="26"/>
  <c r="N23" i="21"/>
  <c r="P9" i="17"/>
  <c r="M46" i="15"/>
  <c r="M46" i="18"/>
  <c r="I8" i="7"/>
  <c r="I27" i="11"/>
  <c r="I27" i="18"/>
  <c r="I10" i="9"/>
  <c r="I27" i="10"/>
  <c r="J23" i="26"/>
  <c r="L23" i="10"/>
  <c r="I8" i="8"/>
  <c r="I28" i="23"/>
  <c r="I8" i="12"/>
  <c r="I8" i="13"/>
  <c r="P9" i="9"/>
  <c r="P9" i="8"/>
  <c r="J23" i="25"/>
  <c r="I27" i="16"/>
  <c r="M22" i="7"/>
  <c r="M22" i="10"/>
  <c r="P28" i="24"/>
  <c r="P23" i="9"/>
  <c r="P23" i="11"/>
  <c r="P23" i="12"/>
  <c r="P23" i="17"/>
  <c r="P23" i="14"/>
  <c r="P23" i="13"/>
  <c r="P23" i="15"/>
  <c r="P23" i="20"/>
  <c r="P23" i="21"/>
  <c r="P23" i="18"/>
  <c r="P23" i="24"/>
  <c r="P23" i="8"/>
  <c r="P23" i="25"/>
  <c r="I28" i="9"/>
  <c r="I10" i="12"/>
  <c r="M22" i="21"/>
  <c r="M35" i="22"/>
  <c r="I28" i="26"/>
  <c r="I28" i="17"/>
  <c r="I19" i="21"/>
  <c r="I19" i="23"/>
  <c r="I28" i="11"/>
  <c r="I10" i="23"/>
  <c r="L54" i="26"/>
  <c r="I19" i="24"/>
  <c r="M22" i="26"/>
  <c r="O27" i="5"/>
  <c r="K60" i="17"/>
  <c r="K60" i="23"/>
  <c r="K60" i="25"/>
  <c r="L23" i="20"/>
  <c r="I28" i="10"/>
  <c r="I28" i="5"/>
  <c r="I21" i="8"/>
  <c r="I19" i="26"/>
  <c r="I19" i="17"/>
  <c r="I15" i="8"/>
  <c r="I21" i="21"/>
  <c r="I19" i="13"/>
  <c r="I28" i="8"/>
  <c r="I8" i="10"/>
  <c r="I10" i="15"/>
  <c r="L23" i="7"/>
  <c r="I21" i="9"/>
  <c r="L54" i="19"/>
  <c r="P9" i="13"/>
  <c r="P9" i="14"/>
  <c r="M46" i="23"/>
  <c r="M46" i="26"/>
  <c r="I8" i="24"/>
  <c r="I27" i="23"/>
  <c r="I27" i="15"/>
  <c r="I10" i="22"/>
  <c r="J23" i="11"/>
  <c r="I21" i="20"/>
  <c r="L23" i="13"/>
  <c r="O27" i="16"/>
  <c r="O27" i="10"/>
  <c r="I19" i="11"/>
  <c r="I19" i="18"/>
  <c r="P9" i="12"/>
  <c r="P9" i="10"/>
  <c r="M46" i="12"/>
  <c r="M22" i="20"/>
  <c r="M22" i="17"/>
  <c r="M22" i="19"/>
  <c r="M35" i="21"/>
  <c r="I28" i="12"/>
  <c r="M22" i="14"/>
  <c r="N23" i="8"/>
  <c r="N23" i="11"/>
  <c r="N23" i="13"/>
  <c r="N23" i="18"/>
  <c r="N23" i="23"/>
  <c r="N23" i="24"/>
  <c r="N23" i="14"/>
  <c r="N23" i="22"/>
  <c r="N23" i="16"/>
  <c r="N23" i="7"/>
  <c r="N23" i="15"/>
  <c r="I19" i="22"/>
  <c r="M22" i="12"/>
  <c r="I10" i="20"/>
  <c r="I28" i="15"/>
  <c r="M22" i="16"/>
  <c r="M35" i="19"/>
  <c r="K60" i="12"/>
  <c r="I28" i="19"/>
  <c r="I21" i="14"/>
  <c r="I19" i="10"/>
  <c r="I15" i="14"/>
  <c r="I21" i="10"/>
  <c r="I15" i="25"/>
  <c r="I8" i="17"/>
  <c r="I8" i="26"/>
  <c r="I10" i="13"/>
  <c r="K54" i="10"/>
  <c r="L23" i="9"/>
  <c r="N23" i="10"/>
  <c r="M46" i="21"/>
  <c r="M46" i="19"/>
  <c r="I8" i="5"/>
  <c r="I27" i="22"/>
  <c r="I27" i="26"/>
  <c r="I10" i="10"/>
  <c r="I15" i="26"/>
  <c r="J23" i="19"/>
  <c r="J23" i="15"/>
  <c r="P9" i="19"/>
  <c r="P9" i="26"/>
  <c r="M22" i="9"/>
  <c r="M22" i="15"/>
  <c r="P28" i="23"/>
  <c r="M35" i="8"/>
  <c r="M35" i="10"/>
  <c r="M35" i="14"/>
  <c r="P28" i="8"/>
  <c r="P28" i="10"/>
  <c r="O7" i="26"/>
  <c r="M35" i="5"/>
  <c r="M35" i="11"/>
  <c r="M35" i="13"/>
  <c r="M35" i="23"/>
  <c r="M35" i="15"/>
  <c r="M35" i="20"/>
  <c r="M35" i="25"/>
  <c r="M35" i="18"/>
  <c r="M35" i="7"/>
  <c r="M35" i="9"/>
  <c r="P28" i="5"/>
  <c r="P28" i="18"/>
  <c r="P28" i="17"/>
  <c r="P28" i="16"/>
  <c r="P28" i="11"/>
  <c r="P28" i="21"/>
  <c r="P28" i="22"/>
  <c r="P28" i="9"/>
  <c r="P28" i="20"/>
  <c r="P28" i="25"/>
  <c r="L34" i="11"/>
  <c r="I6" i="19"/>
  <c r="L34" i="5"/>
  <c r="M7" i="12"/>
  <c r="M7" i="18"/>
  <c r="P63" i="26"/>
  <c r="P63" i="19"/>
  <c r="O7" i="15"/>
  <c r="O7" i="19"/>
  <c r="P34" i="12"/>
  <c r="L46" i="5"/>
  <c r="J6" i="12"/>
  <c r="M7" i="5"/>
  <c r="P63" i="14"/>
  <c r="P63" i="24"/>
  <c r="O7" i="24"/>
  <c r="P63" i="22"/>
  <c r="O7" i="8"/>
  <c r="P63" i="16"/>
  <c r="O7" i="16"/>
  <c r="J46" i="26"/>
  <c r="P63" i="15"/>
  <c r="O7" i="22"/>
  <c r="O7" i="13"/>
  <c r="J34" i="5"/>
  <c r="P63" i="10"/>
  <c r="O7" i="14"/>
  <c r="P63" i="5"/>
  <c r="O7" i="23"/>
  <c r="O7" i="5"/>
  <c r="P63" i="13"/>
  <c r="J8" i="12"/>
  <c r="J48" i="23"/>
  <c r="L34" i="21"/>
  <c r="L34" i="24"/>
  <c r="I6" i="26"/>
  <c r="J34" i="26"/>
  <c r="I46" i="9"/>
  <c r="I6" i="13"/>
  <c r="L34" i="23"/>
  <c r="J46" i="22"/>
  <c r="L34" i="7"/>
  <c r="J46" i="19"/>
  <c r="J55" i="21"/>
  <c r="L34" i="8"/>
  <c r="J46" i="16"/>
  <c r="J46" i="7"/>
  <c r="J46" i="15"/>
  <c r="L34" i="14"/>
  <c r="L34" i="12"/>
  <c r="G65" i="16"/>
  <c r="H47" i="17"/>
  <c r="F9" i="20"/>
  <c r="D104" i="11"/>
  <c r="D121" i="11" s="1"/>
  <c r="I63" i="5"/>
  <c r="F22" i="22"/>
  <c r="N22" i="22" s="1"/>
  <c r="G48" i="23"/>
  <c r="K48" i="23" s="1"/>
  <c r="F121" i="10"/>
  <c r="D104" i="7"/>
  <c r="D121" i="7" s="1"/>
  <c r="G16" i="10"/>
  <c r="O16" i="10" s="1"/>
  <c r="F48" i="16"/>
  <c r="J48" i="16" s="1"/>
  <c r="G8" i="26"/>
  <c r="E23" i="29"/>
  <c r="D23" i="29" s="1"/>
  <c r="E100" i="7"/>
  <c r="G100" i="7" s="1"/>
  <c r="G104" i="7" s="1"/>
  <c r="C53" i="7" s="1"/>
  <c r="E53" i="7" s="1"/>
  <c r="I53" i="7" s="1"/>
  <c r="F48" i="7"/>
  <c r="D55" i="9"/>
  <c r="H47" i="14"/>
  <c r="G117" i="22"/>
  <c r="C58" i="22" s="1"/>
  <c r="E58" i="22" s="1"/>
  <c r="G58" i="22" s="1"/>
  <c r="F16" i="23"/>
  <c r="N16" i="23" s="1"/>
  <c r="G47" i="21"/>
  <c r="F16" i="26"/>
  <c r="N16" i="26" s="1"/>
  <c r="H16" i="23"/>
  <c r="P16" i="23" s="1"/>
  <c r="F48" i="19"/>
  <c r="D16" i="19"/>
  <c r="G48" i="12"/>
  <c r="K48" i="12" s="1"/>
  <c r="E47" i="11"/>
  <c r="D104" i="20"/>
  <c r="D121" i="20" s="1"/>
  <c r="C121" i="26"/>
  <c r="G8" i="17"/>
  <c r="F16" i="12"/>
  <c r="N16" i="12" s="1"/>
  <c r="F16" i="25"/>
  <c r="N16" i="25" s="1"/>
  <c r="I58" i="13"/>
  <c r="C49" i="19"/>
  <c r="E9" i="49" s="1"/>
  <c r="F82" i="49" s="1"/>
  <c r="F48" i="21"/>
  <c r="G56" i="20"/>
  <c r="K56" i="20" s="1"/>
  <c r="G58" i="13"/>
  <c r="K58" i="13" s="1"/>
  <c r="D16" i="26"/>
  <c r="G16" i="26"/>
  <c r="O16" i="26" s="1"/>
  <c r="H8" i="21"/>
  <c r="D18" i="10"/>
  <c r="D58" i="13"/>
  <c r="C29" i="25"/>
  <c r="D24" i="49" s="1"/>
  <c r="E97" i="49" s="1"/>
  <c r="G18" i="16"/>
  <c r="O18" i="16" s="1"/>
  <c r="G16" i="16"/>
  <c r="O16" i="16" s="1"/>
  <c r="D104" i="16"/>
  <c r="D121" i="16" s="1"/>
  <c r="I63" i="25"/>
  <c r="C11" i="17"/>
  <c r="C12" i="49" s="1"/>
  <c r="J85" i="49" s="1"/>
  <c r="E13" i="24"/>
  <c r="F13" i="24" s="1"/>
  <c r="N13" i="24" s="1"/>
  <c r="H8" i="10"/>
  <c r="G18" i="9"/>
  <c r="O18" i="9" s="1"/>
  <c r="H20" i="12"/>
  <c r="P20" i="12" s="1"/>
  <c r="F57" i="18"/>
  <c r="G57" i="18"/>
  <c r="K57" i="18" s="1"/>
  <c r="D18" i="12"/>
  <c r="D18" i="9"/>
  <c r="H8" i="26"/>
  <c r="C121" i="14"/>
  <c r="C121" i="11"/>
  <c r="G117" i="11"/>
  <c r="C58" i="11" s="1"/>
  <c r="E58" i="11" s="1"/>
  <c r="D58" i="11" s="1"/>
  <c r="H16" i="19"/>
  <c r="P16" i="19" s="1"/>
  <c r="D104" i="17"/>
  <c r="G58" i="15"/>
  <c r="K58" i="15" s="1"/>
  <c r="E18" i="29"/>
  <c r="D18" i="29" s="1"/>
  <c r="D18" i="26"/>
  <c r="H16" i="11"/>
  <c r="P16" i="11" s="1"/>
  <c r="G8" i="25"/>
  <c r="G16" i="19"/>
  <c r="O16" i="19" s="1"/>
  <c r="F16" i="11"/>
  <c r="N16" i="11" s="1"/>
  <c r="F47" i="15"/>
  <c r="J47" i="15" s="1"/>
  <c r="H48" i="15"/>
  <c r="L48" i="15" s="1"/>
  <c r="F121" i="11"/>
  <c r="F121" i="26"/>
  <c r="C49" i="8"/>
  <c r="E15" i="49" s="1"/>
  <c r="F88" i="49" s="1"/>
  <c r="C25" i="29"/>
  <c r="G18" i="30" s="1"/>
  <c r="H8" i="16"/>
  <c r="F16" i="17"/>
  <c r="N16" i="17" s="1"/>
  <c r="H58" i="13"/>
  <c r="H21" i="5"/>
  <c r="P21" i="5" s="1"/>
  <c r="H6" i="22"/>
  <c r="G65" i="17"/>
  <c r="G65" i="11"/>
  <c r="H48" i="24"/>
  <c r="L48" i="24" s="1"/>
  <c r="I63" i="20"/>
  <c r="H48" i="8"/>
  <c r="H16" i="21"/>
  <c r="P16" i="21" s="1"/>
  <c r="H18" i="9"/>
  <c r="P18" i="9" s="1"/>
  <c r="D16" i="20"/>
  <c r="G9" i="5"/>
  <c r="F48" i="8"/>
  <c r="C121" i="5"/>
  <c r="Q28" i="6"/>
  <c r="G65" i="24"/>
  <c r="F9" i="17"/>
  <c r="G9" i="15"/>
  <c r="F65" i="10"/>
  <c r="F48" i="15"/>
  <c r="G48" i="9"/>
  <c r="K48" i="9" s="1"/>
  <c r="H56" i="9"/>
  <c r="L56" i="9" s="1"/>
  <c r="D104" i="12"/>
  <c r="D121" i="12" s="1"/>
  <c r="G9" i="13"/>
  <c r="D104" i="15"/>
  <c r="D121" i="15" s="1"/>
  <c r="C121" i="10"/>
  <c r="C49" i="7"/>
  <c r="E14" i="49" s="1"/>
  <c r="F87" i="49" s="1"/>
  <c r="H48" i="16"/>
  <c r="H8" i="9"/>
  <c r="G9" i="17"/>
  <c r="H9" i="15"/>
  <c r="H8" i="22"/>
  <c r="C49" i="15"/>
  <c r="E11" i="49" s="1"/>
  <c r="F84" i="49" s="1"/>
  <c r="D104" i="19"/>
  <c r="D121" i="19" s="1"/>
  <c r="H47" i="8"/>
  <c r="E48" i="8"/>
  <c r="D104" i="22"/>
  <c r="D121" i="22" s="1"/>
  <c r="I63" i="10"/>
  <c r="E33" i="5"/>
  <c r="C11" i="15"/>
  <c r="C11" i="49" s="1"/>
  <c r="F65" i="24"/>
  <c r="F16" i="21"/>
  <c r="N16" i="21" s="1"/>
  <c r="G65" i="21"/>
  <c r="E33" i="23"/>
  <c r="F8" i="9"/>
  <c r="G16" i="11"/>
  <c r="O16" i="11" s="1"/>
  <c r="G18" i="20"/>
  <c r="O18" i="20" s="1"/>
  <c r="F8" i="22"/>
  <c r="C49" i="23"/>
  <c r="E22" i="49" s="1"/>
  <c r="F95" i="49" s="1"/>
  <c r="F47" i="17"/>
  <c r="E48" i="15"/>
  <c r="I63" i="19"/>
  <c r="G117" i="10"/>
  <c r="C58" i="10" s="1"/>
  <c r="E58" i="10" s="1"/>
  <c r="G58" i="10" s="1"/>
  <c r="K58" i="10" s="1"/>
  <c r="G55" i="24"/>
  <c r="F55" i="24"/>
  <c r="H55" i="24"/>
  <c r="D55" i="24"/>
  <c r="D63" i="16"/>
  <c r="D65" i="16" s="1"/>
  <c r="I63" i="16"/>
  <c r="D63" i="24"/>
  <c r="I63" i="24"/>
  <c r="F55" i="25"/>
  <c r="D55" i="25"/>
  <c r="E33" i="9"/>
  <c r="D33" i="9" s="1"/>
  <c r="D55" i="21"/>
  <c r="H65" i="17"/>
  <c r="C49" i="12"/>
  <c r="E6" i="49" s="1"/>
  <c r="E33" i="14"/>
  <c r="D33" i="14" s="1"/>
  <c r="E33" i="25"/>
  <c r="D33" i="25" s="1"/>
  <c r="C142" i="12"/>
  <c r="C33" i="12" s="1"/>
  <c r="K28" i="6"/>
  <c r="H55" i="21"/>
  <c r="E47" i="12"/>
  <c r="G55" i="21"/>
  <c r="K55" i="21" s="1"/>
  <c r="H16" i="7"/>
  <c r="P16" i="7" s="1"/>
  <c r="G20" i="12"/>
  <c r="O20" i="12" s="1"/>
  <c r="G8" i="14"/>
  <c r="G8" i="21"/>
  <c r="C49" i="10"/>
  <c r="E17" i="49" s="1"/>
  <c r="F90" i="49" s="1"/>
  <c r="F47" i="19"/>
  <c r="J47" i="19" s="1"/>
  <c r="H65" i="24"/>
  <c r="G47" i="23"/>
  <c r="H47" i="11"/>
  <c r="E48" i="14"/>
  <c r="F56" i="21"/>
  <c r="H59" i="26"/>
  <c r="L59" i="26" s="1"/>
  <c r="D63" i="25"/>
  <c r="D65" i="25" s="1"/>
  <c r="E21" i="29"/>
  <c r="D21" i="29" s="1"/>
  <c r="F121" i="5"/>
  <c r="E33" i="21"/>
  <c r="D33" i="21" s="1"/>
  <c r="E33" i="11"/>
  <c r="D33" i="11" s="1"/>
  <c r="E33" i="24"/>
  <c r="E33" i="7"/>
  <c r="G18" i="19"/>
  <c r="O18" i="19" s="1"/>
  <c r="H18" i="21"/>
  <c r="P18" i="21" s="1"/>
  <c r="G117" i="24"/>
  <c r="C58" i="24" s="1"/>
  <c r="E58" i="24" s="1"/>
  <c r="G58" i="24" s="1"/>
  <c r="K58" i="24" s="1"/>
  <c r="E33" i="17"/>
  <c r="G7" i="5"/>
  <c r="E100" i="15"/>
  <c r="D20" i="12"/>
  <c r="F65" i="25"/>
  <c r="G48" i="19"/>
  <c r="K48" i="19" s="1"/>
  <c r="C49" i="26"/>
  <c r="E25" i="49" s="1"/>
  <c r="F98" i="49" s="1"/>
  <c r="F48" i="12"/>
  <c r="J48" i="12" s="1"/>
  <c r="G47" i="17"/>
  <c r="H48" i="26"/>
  <c r="D65" i="17"/>
  <c r="E48" i="26"/>
  <c r="I48" i="26" s="1"/>
  <c r="F9" i="5"/>
  <c r="I59" i="26"/>
  <c r="G117" i="26"/>
  <c r="C58" i="26" s="1"/>
  <c r="E58" i="26" s="1"/>
  <c r="C29" i="15"/>
  <c r="D11" i="49" s="1"/>
  <c r="E84" i="49" s="1"/>
  <c r="E33" i="10"/>
  <c r="D33" i="10" s="1"/>
  <c r="E33" i="8"/>
  <c r="D33" i="8" s="1"/>
  <c r="E33" i="13"/>
  <c r="J28" i="6"/>
  <c r="G16" i="7"/>
  <c r="O16" i="7" s="1"/>
  <c r="F18" i="21"/>
  <c r="N18" i="21" s="1"/>
  <c r="H48" i="12"/>
  <c r="P48" i="12" s="1"/>
  <c r="D59" i="26"/>
  <c r="H16" i="10"/>
  <c r="P16" i="10" s="1"/>
  <c r="H18" i="10"/>
  <c r="P18" i="10" s="1"/>
  <c r="G16" i="12"/>
  <c r="O16" i="12" s="1"/>
  <c r="H8" i="19"/>
  <c r="F16" i="10"/>
  <c r="N16" i="10" s="1"/>
  <c r="F18" i="10"/>
  <c r="N18" i="10" s="1"/>
  <c r="D18" i="22"/>
  <c r="H18" i="20"/>
  <c r="P18" i="20" s="1"/>
  <c r="D16" i="12"/>
  <c r="H18" i="12"/>
  <c r="P18" i="12" s="1"/>
  <c r="E11" i="17"/>
  <c r="B38" i="34" s="1"/>
  <c r="H8" i="25"/>
  <c r="F48" i="26"/>
  <c r="H65" i="12"/>
  <c r="G59" i="17"/>
  <c r="E65" i="17"/>
  <c r="G59" i="26"/>
  <c r="K59" i="26" s="1"/>
  <c r="E33" i="20"/>
  <c r="D33" i="20" s="1"/>
  <c r="E33" i="26"/>
  <c r="E33" i="16"/>
  <c r="D33" i="16" s="1"/>
  <c r="H8" i="17"/>
  <c r="D18" i="19"/>
  <c r="F16" i="7"/>
  <c r="N16" i="7" s="1"/>
  <c r="G65" i="26"/>
  <c r="E33" i="19"/>
  <c r="D33" i="19" s="1"/>
  <c r="G8" i="19"/>
  <c r="G18" i="22"/>
  <c r="O18" i="22" s="1"/>
  <c r="D18" i="20"/>
  <c r="C49" i="11"/>
  <c r="E18" i="49" s="1"/>
  <c r="F91" i="49" s="1"/>
  <c r="G16" i="23"/>
  <c r="O16" i="23" s="1"/>
  <c r="F18" i="12"/>
  <c r="N18" i="12" s="1"/>
  <c r="C49" i="14"/>
  <c r="E7" i="49" s="1"/>
  <c r="F80" i="49" s="1"/>
  <c r="F47" i="11"/>
  <c r="J47" i="11" s="1"/>
  <c r="C121" i="22"/>
  <c r="E19" i="29"/>
  <c r="D19" i="29" s="1"/>
  <c r="H7" i="5"/>
  <c r="G117" i="5"/>
  <c r="E48" i="16"/>
  <c r="K63" i="12"/>
  <c r="C29" i="16"/>
  <c r="D13" i="49" s="1"/>
  <c r="E86" i="49" s="1"/>
  <c r="I63" i="26"/>
  <c r="E47" i="34"/>
  <c r="I46" i="17"/>
  <c r="L34" i="9"/>
  <c r="I46" i="18"/>
  <c r="L48" i="14"/>
  <c r="L34" i="10"/>
  <c r="J55" i="9"/>
  <c r="I46" i="7"/>
  <c r="I46" i="23"/>
  <c r="I46" i="5"/>
  <c r="L55" i="23"/>
  <c r="J48" i="24"/>
  <c r="L48" i="19"/>
  <c r="I46" i="25"/>
  <c r="J48" i="18"/>
  <c r="L34" i="16"/>
  <c r="L34" i="15"/>
  <c r="L34" i="13"/>
  <c r="L34" i="26"/>
  <c r="L34" i="19"/>
  <c r="L34" i="18"/>
  <c r="I46" i="21"/>
  <c r="L34" i="22"/>
  <c r="J48" i="9"/>
  <c r="I46" i="20"/>
  <c r="L34" i="25"/>
  <c r="L34" i="20"/>
  <c r="E50" i="34"/>
  <c r="D39" i="23"/>
  <c r="E48" i="34"/>
  <c r="F26" i="22"/>
  <c r="N26" i="22" s="1"/>
  <c r="C29" i="22"/>
  <c r="D21" i="49" s="1"/>
  <c r="E94" i="49" s="1"/>
  <c r="D40" i="21"/>
  <c r="E46" i="34"/>
  <c r="F27" i="13"/>
  <c r="N27" i="13" s="1"/>
  <c r="E39" i="34"/>
  <c r="H26" i="16"/>
  <c r="P26" i="16" s="1"/>
  <c r="H27" i="15"/>
  <c r="P27" i="15" s="1"/>
  <c r="G28" i="29"/>
  <c r="E35" i="34"/>
  <c r="D41" i="14"/>
  <c r="E33" i="34"/>
  <c r="H45" i="29"/>
  <c r="G59" i="10"/>
  <c r="F54" i="22"/>
  <c r="I54" i="22"/>
  <c r="D54" i="22"/>
  <c r="H54" i="22"/>
  <c r="I14" i="33"/>
  <c r="K28" i="33" s="1"/>
  <c r="J34" i="13"/>
  <c r="J34" i="22"/>
  <c r="J34" i="16"/>
  <c r="J34" i="7"/>
  <c r="J34" i="15"/>
  <c r="J34" i="11"/>
  <c r="J34" i="19"/>
  <c r="J34" i="23"/>
  <c r="J34" i="12"/>
  <c r="C11" i="11"/>
  <c r="C18" i="49" s="1"/>
  <c r="J91" i="49" s="1"/>
  <c r="C11" i="18"/>
  <c r="C10" i="49" s="1"/>
  <c r="J83" i="49" s="1"/>
  <c r="H6" i="13"/>
  <c r="E11" i="13"/>
  <c r="B45" i="34" s="1"/>
  <c r="F6" i="19"/>
  <c r="C10" i="29"/>
  <c r="G5" i="30" s="1"/>
  <c r="E11" i="8"/>
  <c r="B41" i="34" s="1"/>
  <c r="H6" i="18"/>
  <c r="F6" i="16"/>
  <c r="E11" i="7"/>
  <c r="B40" i="34" s="1"/>
  <c r="E11" i="11"/>
  <c r="B44" i="34" s="1"/>
  <c r="F6" i="11"/>
  <c r="D57" i="11"/>
  <c r="F57" i="11"/>
  <c r="H57" i="11"/>
  <c r="G57" i="11"/>
  <c r="G32" i="34"/>
  <c r="D35" i="12"/>
  <c r="D60" i="25"/>
  <c r="L60" i="12"/>
  <c r="H63" i="29"/>
  <c r="D55" i="17"/>
  <c r="F55" i="17"/>
  <c r="J55" i="17" s="1"/>
  <c r="D57" i="23"/>
  <c r="F57" i="23"/>
  <c r="J57" i="23" s="1"/>
  <c r="F54" i="10"/>
  <c r="D54" i="10"/>
  <c r="I54" i="10"/>
  <c r="D21" i="17"/>
  <c r="F21" i="17"/>
  <c r="N21" i="17" s="1"/>
  <c r="H21" i="17"/>
  <c r="P21" i="17" s="1"/>
  <c r="G21" i="17"/>
  <c r="O21" i="17" s="1"/>
  <c r="E27" i="23"/>
  <c r="D27" i="23" s="1"/>
  <c r="H27" i="23"/>
  <c r="P27" i="23" s="1"/>
  <c r="G27" i="23"/>
  <c r="O27" i="23" s="1"/>
  <c r="F27" i="23"/>
  <c r="N27" i="23" s="1"/>
  <c r="H48" i="17"/>
  <c r="L48" i="17" s="1"/>
  <c r="E48" i="17"/>
  <c r="G48" i="17"/>
  <c r="K48" i="17" s="1"/>
  <c r="C49" i="17"/>
  <c r="E12" i="49" s="1"/>
  <c r="F85" i="49" s="1"/>
  <c r="D117" i="17"/>
  <c r="E117" i="17" s="1"/>
  <c r="G117" i="17" s="1"/>
  <c r="C58" i="17" s="1"/>
  <c r="C121" i="17"/>
  <c r="E26" i="18"/>
  <c r="D26" i="18" s="1"/>
  <c r="H26" i="18"/>
  <c r="P26" i="18" s="1"/>
  <c r="G26" i="18"/>
  <c r="O26" i="18" s="1"/>
  <c r="E26" i="16"/>
  <c r="D26" i="16" s="1"/>
  <c r="G26" i="16"/>
  <c r="O26" i="16" s="1"/>
  <c r="F26" i="16"/>
  <c r="N26" i="16" s="1"/>
  <c r="F8" i="10"/>
  <c r="F47" i="18"/>
  <c r="F48" i="17"/>
  <c r="J46" i="8"/>
  <c r="J46" i="11"/>
  <c r="J46" i="10"/>
  <c r="J46" i="23"/>
  <c r="J46" i="13"/>
  <c r="J46" i="12"/>
  <c r="J46" i="14"/>
  <c r="J46" i="24"/>
  <c r="J46" i="18"/>
  <c r="G65" i="13"/>
  <c r="H54" i="10"/>
  <c r="H48" i="25"/>
  <c r="L48" i="25" s="1"/>
  <c r="E48" i="25"/>
  <c r="M48" i="25" s="1"/>
  <c r="F48" i="25"/>
  <c r="J48" i="25" s="1"/>
  <c r="C49" i="25"/>
  <c r="E24" i="49" s="1"/>
  <c r="F97" i="49" s="1"/>
  <c r="G48" i="25"/>
  <c r="K48" i="25" s="1"/>
  <c r="H18" i="25"/>
  <c r="P18" i="25" s="1"/>
  <c r="F18" i="25"/>
  <c r="N18" i="25" s="1"/>
  <c r="G18" i="25"/>
  <c r="O18" i="25" s="1"/>
  <c r="N15" i="7"/>
  <c r="N15" i="23"/>
  <c r="N15" i="14"/>
  <c r="N15" i="8"/>
  <c r="N15" i="24"/>
  <c r="N15" i="18"/>
  <c r="N15" i="11"/>
  <c r="N15" i="16"/>
  <c r="N15" i="9"/>
  <c r="N15" i="10"/>
  <c r="N15" i="15"/>
  <c r="N15" i="25"/>
  <c r="N15" i="21"/>
  <c r="N15" i="22"/>
  <c r="N15" i="26"/>
  <c r="N15" i="20"/>
  <c r="N15" i="17"/>
  <c r="N15" i="13"/>
  <c r="N15" i="12"/>
  <c r="D21" i="25"/>
  <c r="F21" i="25"/>
  <c r="N21" i="25" s="1"/>
  <c r="H21" i="25"/>
  <c r="P21" i="25" s="1"/>
  <c r="G21" i="25"/>
  <c r="O21" i="25" s="1"/>
  <c r="D56" i="14"/>
  <c r="H56" i="14"/>
  <c r="L56" i="14" s="1"/>
  <c r="G56" i="14"/>
  <c r="H47" i="16"/>
  <c r="C49" i="16"/>
  <c r="E13" i="49" s="1"/>
  <c r="F86" i="49" s="1"/>
  <c r="D21" i="21"/>
  <c r="G21" i="21"/>
  <c r="O21" i="21" s="1"/>
  <c r="F21" i="21"/>
  <c r="H21" i="21"/>
  <c r="P21" i="21" s="1"/>
  <c r="H16" i="25"/>
  <c r="P16" i="25" s="1"/>
  <c r="G16" i="25"/>
  <c r="O16" i="25" s="1"/>
  <c r="E27" i="7"/>
  <c r="D27" i="7" s="1"/>
  <c r="H27" i="7"/>
  <c r="P27" i="7" s="1"/>
  <c r="C30" i="29"/>
  <c r="G23" i="30" s="1"/>
  <c r="H47" i="21"/>
  <c r="L47" i="21" s="1"/>
  <c r="F47" i="21"/>
  <c r="J47" i="21" s="1"/>
  <c r="C49" i="21"/>
  <c r="E20" i="49" s="1"/>
  <c r="F93" i="49" s="1"/>
  <c r="E9" i="21"/>
  <c r="C11" i="21"/>
  <c r="C20" i="49" s="1"/>
  <c r="J93" i="49" s="1"/>
  <c r="G26" i="26"/>
  <c r="O26" i="26" s="1"/>
  <c r="H26" i="26"/>
  <c r="P26" i="26" s="1"/>
  <c r="E26" i="26"/>
  <c r="D26" i="26" s="1"/>
  <c r="F10" i="25"/>
  <c r="H10" i="25"/>
  <c r="G10" i="25"/>
  <c r="E9" i="14"/>
  <c r="C12" i="29"/>
  <c r="G7" i="30" s="1"/>
  <c r="C11" i="14"/>
  <c r="C7" i="49" s="1"/>
  <c r="J80" i="49" s="1"/>
  <c r="E41" i="34"/>
  <c r="D37" i="8"/>
  <c r="X21" i="27"/>
  <c r="X15" i="27"/>
  <c r="X19" i="27"/>
  <c r="X20" i="27"/>
  <c r="X14" i="27"/>
  <c r="J10" i="5"/>
  <c r="J10" i="12"/>
  <c r="F56" i="17"/>
  <c r="J56" i="17" s="1"/>
  <c r="D56" i="17"/>
  <c r="G56" i="17"/>
  <c r="E8" i="24"/>
  <c r="E11" i="29" s="1"/>
  <c r="C11" i="24"/>
  <c r="C23" i="49" s="1"/>
  <c r="J96" i="49" s="1"/>
  <c r="E13" i="13"/>
  <c r="G13" i="13" s="1"/>
  <c r="O13" i="13" s="1"/>
  <c r="C29" i="13"/>
  <c r="D19" i="49" s="1"/>
  <c r="E92" i="49" s="1"/>
  <c r="F55" i="26"/>
  <c r="J55" i="26" s="1"/>
  <c r="G55" i="26"/>
  <c r="K55" i="26" s="1"/>
  <c r="D55" i="26"/>
  <c r="E48" i="22"/>
  <c r="I48" i="22" s="1"/>
  <c r="F48" i="22"/>
  <c r="G48" i="22"/>
  <c r="K48" i="22" s="1"/>
  <c r="F18" i="17"/>
  <c r="N18" i="17" s="1"/>
  <c r="H18" i="17"/>
  <c r="P18" i="17" s="1"/>
  <c r="G18" i="17"/>
  <c r="O18" i="17" s="1"/>
  <c r="F56" i="20"/>
  <c r="H56" i="20"/>
  <c r="E11" i="10"/>
  <c r="B43" i="34" s="1"/>
  <c r="F26" i="18"/>
  <c r="N26" i="18" s="1"/>
  <c r="H55" i="26"/>
  <c r="L55" i="26" s="1"/>
  <c r="E24" i="29"/>
  <c r="D24" i="29" s="1"/>
  <c r="G21" i="5"/>
  <c r="O21" i="5" s="1"/>
  <c r="F21" i="5"/>
  <c r="N21" i="5" s="1"/>
  <c r="C29" i="29"/>
  <c r="G22" i="30" s="1"/>
  <c r="I54" i="25"/>
  <c r="D54" i="25"/>
  <c r="F54" i="25"/>
  <c r="J54" i="25" s="1"/>
  <c r="E102" i="21"/>
  <c r="G102" i="21" s="1"/>
  <c r="D104" i="21"/>
  <c r="D121" i="21" s="1"/>
  <c r="E47" i="13"/>
  <c r="I47" i="13" s="1"/>
  <c r="G47" i="13"/>
  <c r="K47" i="13" s="1"/>
  <c r="F47" i="13"/>
  <c r="E48" i="5"/>
  <c r="D48" i="5" s="1"/>
  <c r="H48" i="5"/>
  <c r="G48" i="5"/>
  <c r="K48" i="5" s="1"/>
  <c r="C51" i="29"/>
  <c r="G40" i="30" s="1"/>
  <c r="E38" i="29"/>
  <c r="D38" i="29" s="1"/>
  <c r="I59" i="17"/>
  <c r="F59" i="17"/>
  <c r="J59" i="17" s="1"/>
  <c r="G117" i="23"/>
  <c r="C58" i="23" s="1"/>
  <c r="E58" i="23" s="1"/>
  <c r="M58" i="23" s="1"/>
  <c r="I54" i="19"/>
  <c r="G54" i="19"/>
  <c r="G47" i="24"/>
  <c r="K47" i="24" s="1"/>
  <c r="E47" i="24"/>
  <c r="M47" i="24" s="1"/>
  <c r="F47" i="24"/>
  <c r="J47" i="24" s="1"/>
  <c r="H47" i="24"/>
  <c r="E48" i="13"/>
  <c r="M48" i="13" s="1"/>
  <c r="H48" i="13"/>
  <c r="F48" i="13"/>
  <c r="G48" i="13"/>
  <c r="H65" i="26"/>
  <c r="F57" i="25"/>
  <c r="J57" i="25" s="1"/>
  <c r="D57" i="25"/>
  <c r="E11" i="25"/>
  <c r="B50" i="34" s="1"/>
  <c r="G6" i="25"/>
  <c r="H57" i="25"/>
  <c r="F54" i="19"/>
  <c r="H59" i="17"/>
  <c r="D63" i="7"/>
  <c r="D65" i="7" s="1"/>
  <c r="E65" i="7"/>
  <c r="D55" i="19"/>
  <c r="F55" i="19"/>
  <c r="H55" i="19"/>
  <c r="D59" i="19"/>
  <c r="I59" i="19"/>
  <c r="H59" i="19"/>
  <c r="G59" i="19"/>
  <c r="K59" i="19" s="1"/>
  <c r="M16" i="5"/>
  <c r="M16" i="18"/>
  <c r="M16" i="11"/>
  <c r="M16" i="15"/>
  <c r="M16" i="7"/>
  <c r="M16" i="23"/>
  <c r="M16" i="20"/>
  <c r="M16" i="21"/>
  <c r="M16" i="19"/>
  <c r="M16" i="22"/>
  <c r="M16" i="8"/>
  <c r="M16" i="26"/>
  <c r="M16" i="13"/>
  <c r="M16" i="24"/>
  <c r="M16" i="12"/>
  <c r="M16" i="25"/>
  <c r="M16" i="9"/>
  <c r="M16" i="17"/>
  <c r="M16" i="14"/>
  <c r="M16" i="10"/>
  <c r="M16" i="16"/>
  <c r="F18" i="16"/>
  <c r="N18" i="16" s="1"/>
  <c r="H18" i="16"/>
  <c r="P18" i="16" s="1"/>
  <c r="E100" i="18"/>
  <c r="G100" i="18" s="1"/>
  <c r="G104" i="18" s="1"/>
  <c r="C53" i="18" s="1"/>
  <c r="E53" i="18" s="1"/>
  <c r="D104" i="18"/>
  <c r="D121" i="18" s="1"/>
  <c r="I6" i="9"/>
  <c r="I6" i="11"/>
  <c r="I6" i="20"/>
  <c r="I6" i="25"/>
  <c r="I6" i="7"/>
  <c r="I6" i="17"/>
  <c r="I6" i="21"/>
  <c r="I6" i="23"/>
  <c r="I6" i="18"/>
  <c r="I6" i="16"/>
  <c r="I6" i="10"/>
  <c r="I6" i="12"/>
  <c r="I6" i="8"/>
  <c r="I6" i="5"/>
  <c r="I6" i="22"/>
  <c r="I6" i="14"/>
  <c r="I6" i="24"/>
  <c r="G56" i="9"/>
  <c r="K56" i="9" s="1"/>
  <c r="F56" i="9"/>
  <c r="J56" i="9" s="1"/>
  <c r="H16" i="20"/>
  <c r="P16" i="20" s="1"/>
  <c r="G16" i="20"/>
  <c r="O16" i="20" s="1"/>
  <c r="E27" i="11"/>
  <c r="D27" i="11" s="1"/>
  <c r="H27" i="11"/>
  <c r="P27" i="11" s="1"/>
  <c r="F27" i="11"/>
  <c r="N27" i="11" s="1"/>
  <c r="E26" i="20"/>
  <c r="D26" i="20" s="1"/>
  <c r="H26" i="20"/>
  <c r="P26" i="20" s="1"/>
  <c r="E26" i="5"/>
  <c r="D26" i="5" s="1"/>
  <c r="G26" i="5"/>
  <c r="O26" i="5" s="1"/>
  <c r="F10" i="9"/>
  <c r="G10" i="9"/>
  <c r="H10" i="9"/>
  <c r="G10" i="14"/>
  <c r="H10" i="14"/>
  <c r="E13" i="29"/>
  <c r="F10" i="14"/>
  <c r="C29" i="26"/>
  <c r="D25" i="49" s="1"/>
  <c r="E98" i="49" s="1"/>
  <c r="E13" i="26"/>
  <c r="D13" i="26" s="1"/>
  <c r="D59" i="21"/>
  <c r="G59" i="21"/>
  <c r="G54" i="16"/>
  <c r="K54" i="16" s="1"/>
  <c r="I54" i="16"/>
  <c r="H54" i="16"/>
  <c r="E13" i="8"/>
  <c r="D13" i="8" s="1"/>
  <c r="C29" i="8"/>
  <c r="D15" i="49" s="1"/>
  <c r="E88" i="49" s="1"/>
  <c r="H56" i="21"/>
  <c r="G56" i="21"/>
  <c r="F56" i="25"/>
  <c r="H56" i="25"/>
  <c r="D54" i="26"/>
  <c r="F54" i="26"/>
  <c r="I54" i="26"/>
  <c r="F58" i="15"/>
  <c r="I58" i="15"/>
  <c r="D58" i="15"/>
  <c r="D55" i="23"/>
  <c r="F55" i="23"/>
  <c r="G55" i="23"/>
  <c r="O10" i="5"/>
  <c r="O10" i="7"/>
  <c r="O10" i="23"/>
  <c r="O10" i="14"/>
  <c r="O10" i="8"/>
  <c r="O10" i="24"/>
  <c r="O10" i="18"/>
  <c r="O10" i="11"/>
  <c r="O10" i="15"/>
  <c r="O10" i="25"/>
  <c r="O10" i="17"/>
  <c r="O10" i="26"/>
  <c r="O10" i="16"/>
  <c r="O10" i="20"/>
  <c r="O10" i="21"/>
  <c r="O10" i="19"/>
  <c r="O10" i="10"/>
  <c r="O10" i="13"/>
  <c r="O10" i="12"/>
  <c r="O10" i="9"/>
  <c r="O10" i="22"/>
  <c r="D16" i="16"/>
  <c r="F16" i="16"/>
  <c r="N16" i="16" s="1"/>
  <c r="C29" i="7"/>
  <c r="D14" i="49" s="1"/>
  <c r="E87" i="49" s="1"/>
  <c r="C49" i="24"/>
  <c r="E23" i="49" s="1"/>
  <c r="F96" i="49" s="1"/>
  <c r="C49" i="13"/>
  <c r="E19" i="49" s="1"/>
  <c r="F92" i="49" s="1"/>
  <c r="H48" i="22"/>
  <c r="H42" i="29"/>
  <c r="C29" i="10"/>
  <c r="D17" i="49" s="1"/>
  <c r="E90" i="49" s="1"/>
  <c r="E11" i="15"/>
  <c r="B37" i="34" s="1"/>
  <c r="H6" i="15"/>
  <c r="G6" i="9"/>
  <c r="E11" i="9"/>
  <c r="B42" i="34" s="1"/>
  <c r="C11" i="29"/>
  <c r="G6" i="30" s="1"/>
  <c r="C11" i="13"/>
  <c r="C19" i="49" s="1"/>
  <c r="J92" i="49" s="1"/>
  <c r="G65" i="10"/>
  <c r="H57" i="18"/>
  <c r="H57" i="23"/>
  <c r="C49" i="18"/>
  <c r="E10" i="49" s="1"/>
  <c r="F83" i="49" s="1"/>
  <c r="I21" i="33"/>
  <c r="X35" i="27" s="1"/>
  <c r="G47" i="18"/>
  <c r="E47" i="18"/>
  <c r="I47" i="18" s="1"/>
  <c r="D54" i="19"/>
  <c r="G54" i="26"/>
  <c r="K54" i="26" s="1"/>
  <c r="H56" i="17"/>
  <c r="L56" i="17" s="1"/>
  <c r="D59" i="10"/>
  <c r="I59" i="10"/>
  <c r="F59" i="10"/>
  <c r="H9" i="13"/>
  <c r="H48" i="20"/>
  <c r="L48" i="20" s="1"/>
  <c r="E48" i="20"/>
  <c r="F48" i="20"/>
  <c r="N48" i="20" s="1"/>
  <c r="H48" i="10"/>
  <c r="E48" i="10"/>
  <c r="I48" i="10" s="1"/>
  <c r="F48" i="10"/>
  <c r="J48" i="10" s="1"/>
  <c r="H16" i="17"/>
  <c r="P16" i="17" s="1"/>
  <c r="G16" i="17"/>
  <c r="O16" i="17" s="1"/>
  <c r="D21" i="24"/>
  <c r="G21" i="24"/>
  <c r="O21" i="24" s="1"/>
  <c r="F21" i="24"/>
  <c r="N21" i="24" s="1"/>
  <c r="H21" i="24"/>
  <c r="P21" i="24" s="1"/>
  <c r="E48" i="11"/>
  <c r="G48" i="11"/>
  <c r="H48" i="11"/>
  <c r="L48" i="11" s="1"/>
  <c r="F48" i="11"/>
  <c r="E11" i="16"/>
  <c r="B39" i="34" s="1"/>
  <c r="F8" i="16"/>
  <c r="F18" i="26"/>
  <c r="N18" i="26" s="1"/>
  <c r="H18" i="26"/>
  <c r="P18" i="26" s="1"/>
  <c r="E11" i="20"/>
  <c r="B34" i="34" s="1"/>
  <c r="F8" i="20"/>
  <c r="G8" i="20"/>
  <c r="E47" i="7"/>
  <c r="G47" i="7"/>
  <c r="K47" i="7" s="1"/>
  <c r="H65" i="22"/>
  <c r="C29" i="23"/>
  <c r="D22" i="49" s="1"/>
  <c r="E95" i="49" s="1"/>
  <c r="E48" i="18"/>
  <c r="G48" i="18"/>
  <c r="K48" i="18" s="1"/>
  <c r="H48" i="18"/>
  <c r="L48" i="18" s="1"/>
  <c r="G47" i="22"/>
  <c r="K47" i="22" s="1"/>
  <c r="E47" i="22"/>
  <c r="K63" i="5"/>
  <c r="K63" i="16"/>
  <c r="K63" i="22"/>
  <c r="K63" i="7"/>
  <c r="K63" i="23"/>
  <c r="K63" i="19"/>
  <c r="K63" i="10"/>
  <c r="K63" i="26"/>
  <c r="K63" i="14"/>
  <c r="K63" i="13"/>
  <c r="K63" i="20"/>
  <c r="K63" i="21"/>
  <c r="K63" i="17"/>
  <c r="K63" i="18"/>
  <c r="K63" i="15"/>
  <c r="K63" i="8"/>
  <c r="K63" i="25"/>
  <c r="K63" i="9"/>
  <c r="K63" i="11"/>
  <c r="K63" i="24"/>
  <c r="G27" i="13"/>
  <c r="O27" i="13" s="1"/>
  <c r="E27" i="13"/>
  <c r="D27" i="13" s="1"/>
  <c r="H48" i="21"/>
  <c r="E48" i="21"/>
  <c r="G26" i="8"/>
  <c r="O26" i="8" s="1"/>
  <c r="E26" i="8"/>
  <c r="D26" i="8" s="1"/>
  <c r="H26" i="10"/>
  <c r="P26" i="10" s="1"/>
  <c r="G26" i="10"/>
  <c r="O26" i="10" s="1"/>
  <c r="E26" i="10"/>
  <c r="D26" i="10" s="1"/>
  <c r="G10" i="24"/>
  <c r="F10" i="24"/>
  <c r="D35" i="15"/>
  <c r="G37" i="34"/>
  <c r="G18" i="21"/>
  <c r="O18" i="21" s="1"/>
  <c r="C29" i="11"/>
  <c r="D18" i="49" s="1"/>
  <c r="E91" i="49" s="1"/>
  <c r="J34" i="24"/>
  <c r="J34" i="14"/>
  <c r="F47" i="22"/>
  <c r="F27" i="24"/>
  <c r="N27" i="24" s="1"/>
  <c r="H26" i="8"/>
  <c r="P26" i="8" s="1"/>
  <c r="G65" i="22"/>
  <c r="G9" i="20"/>
  <c r="G47" i="19"/>
  <c r="K47" i="19" s="1"/>
  <c r="E47" i="19"/>
  <c r="M47" i="19" s="1"/>
  <c r="D21" i="8"/>
  <c r="F21" i="8"/>
  <c r="N21" i="8" s="1"/>
  <c r="G21" i="8"/>
  <c r="O21" i="8" s="1"/>
  <c r="H21" i="8"/>
  <c r="P21" i="8" s="1"/>
  <c r="I46" i="22"/>
  <c r="I46" i="14"/>
  <c r="I46" i="24"/>
  <c r="I46" i="16"/>
  <c r="I46" i="8"/>
  <c r="I46" i="15"/>
  <c r="I46" i="19"/>
  <c r="I46" i="10"/>
  <c r="I46" i="12"/>
  <c r="I46" i="13"/>
  <c r="I46" i="26"/>
  <c r="G27" i="15"/>
  <c r="O27" i="15" s="1"/>
  <c r="E27" i="15"/>
  <c r="D27" i="15" s="1"/>
  <c r="E26" i="25"/>
  <c r="D26" i="25" s="1"/>
  <c r="H26" i="25"/>
  <c r="P26" i="25" s="1"/>
  <c r="H26" i="19"/>
  <c r="P26" i="19" s="1"/>
  <c r="E26" i="19"/>
  <c r="D26" i="19" s="1"/>
  <c r="G26" i="19"/>
  <c r="O26" i="19" s="1"/>
  <c r="F10" i="10"/>
  <c r="H10" i="10"/>
  <c r="G10" i="10"/>
  <c r="G47" i="14"/>
  <c r="C29" i="5"/>
  <c r="D5" i="49" s="1"/>
  <c r="C29" i="18"/>
  <c r="D10" i="49" s="1"/>
  <c r="E83" i="49" s="1"/>
  <c r="G65" i="12"/>
  <c r="F121" i="17"/>
  <c r="E47" i="9"/>
  <c r="I47" i="9" s="1"/>
  <c r="H47" i="9"/>
  <c r="L47" i="9" s="1"/>
  <c r="E48" i="7"/>
  <c r="H48" i="7"/>
  <c r="P48" i="7" s="1"/>
  <c r="E27" i="18"/>
  <c r="D27" i="18" s="1"/>
  <c r="H27" i="18"/>
  <c r="P27" i="18" s="1"/>
  <c r="E26" i="24"/>
  <c r="D26" i="24" s="1"/>
  <c r="G26" i="24"/>
  <c r="O26" i="24" s="1"/>
  <c r="E13" i="23"/>
  <c r="G13" i="23" s="1"/>
  <c r="O13" i="23" s="1"/>
  <c r="E11" i="22"/>
  <c r="B47" i="34" s="1"/>
  <c r="H18" i="19"/>
  <c r="P18" i="19" s="1"/>
  <c r="H18" i="22"/>
  <c r="P18" i="22" s="1"/>
  <c r="G16" i="21"/>
  <c r="O16" i="21" s="1"/>
  <c r="C11" i="20"/>
  <c r="C8" i="49" s="1"/>
  <c r="J81" i="49" s="1"/>
  <c r="H7" i="18"/>
  <c r="H8" i="14"/>
  <c r="J34" i="10"/>
  <c r="C49" i="20"/>
  <c r="E8" i="49" s="1"/>
  <c r="F81" i="49" s="1"/>
  <c r="C49" i="9"/>
  <c r="E16" i="49" s="1"/>
  <c r="F89" i="49" s="1"/>
  <c r="F48" i="14"/>
  <c r="F47" i="20"/>
  <c r="G27" i="18"/>
  <c r="O27" i="18" s="1"/>
  <c r="I16" i="33"/>
  <c r="G48" i="14"/>
  <c r="K48" i="14" s="1"/>
  <c r="H48" i="9"/>
  <c r="E48" i="9"/>
  <c r="I48" i="9" s="1"/>
  <c r="R28" i="6"/>
  <c r="D21" i="15"/>
  <c r="H21" i="15"/>
  <c r="P21" i="15" s="1"/>
  <c r="G21" i="15"/>
  <c r="O21" i="15" s="1"/>
  <c r="F21" i="15"/>
  <c r="N21" i="15" s="1"/>
  <c r="H47" i="23"/>
  <c r="E47" i="23"/>
  <c r="M47" i="23" s="1"/>
  <c r="P21" i="9"/>
  <c r="P21" i="19"/>
  <c r="P21" i="10"/>
  <c r="P21" i="26"/>
  <c r="P21" i="14"/>
  <c r="P21" i="22"/>
  <c r="P21" i="18"/>
  <c r="P21" i="23"/>
  <c r="P21" i="7"/>
  <c r="P21" i="11"/>
  <c r="P21" i="12"/>
  <c r="P21" i="16"/>
  <c r="G27" i="8"/>
  <c r="O27" i="8" s="1"/>
  <c r="E27" i="8"/>
  <c r="D27" i="8" s="1"/>
  <c r="E26" i="14"/>
  <c r="D26" i="14" s="1"/>
  <c r="G26" i="14"/>
  <c r="O26" i="14" s="1"/>
  <c r="H26" i="14"/>
  <c r="P26" i="14" s="1"/>
  <c r="H26" i="7"/>
  <c r="P26" i="7" s="1"/>
  <c r="E26" i="7"/>
  <c r="D26" i="7" s="1"/>
  <c r="E47" i="8"/>
  <c r="M47" i="8" s="1"/>
  <c r="E47" i="10"/>
  <c r="M47" i="10" s="1"/>
  <c r="S28" i="6"/>
  <c r="O35" i="5"/>
  <c r="O35" i="17"/>
  <c r="O35" i="21"/>
  <c r="O35" i="16"/>
  <c r="O35" i="22"/>
  <c r="O35" i="20"/>
  <c r="O35" i="9"/>
  <c r="O35" i="25"/>
  <c r="O35" i="10"/>
  <c r="O35" i="11"/>
  <c r="O35" i="14"/>
  <c r="O35" i="13"/>
  <c r="O35" i="7"/>
  <c r="O35" i="18"/>
  <c r="O35" i="15"/>
  <c r="O35" i="8"/>
  <c r="O35" i="24"/>
  <c r="O35" i="26"/>
  <c r="O35" i="12"/>
  <c r="O35" i="19"/>
  <c r="O35" i="23"/>
  <c r="E27" i="24"/>
  <c r="D27" i="24" s="1"/>
  <c r="G27" i="24"/>
  <c r="O27" i="24" s="1"/>
  <c r="E26" i="23"/>
  <c r="D26" i="23" s="1"/>
  <c r="G26" i="23"/>
  <c r="O26" i="23" s="1"/>
  <c r="G10" i="26"/>
  <c r="H10" i="26"/>
  <c r="F10" i="26"/>
  <c r="F6" i="8"/>
  <c r="G7" i="18"/>
  <c r="J34" i="18"/>
  <c r="H65" i="9"/>
  <c r="H65" i="10"/>
  <c r="G47" i="9"/>
  <c r="H26" i="24"/>
  <c r="P26" i="24" s="1"/>
  <c r="E48" i="19"/>
  <c r="E47" i="26"/>
  <c r="M25" i="5"/>
  <c r="M25" i="12"/>
  <c r="M25" i="7"/>
  <c r="M25" i="23"/>
  <c r="M25" i="18"/>
  <c r="M25" i="11"/>
  <c r="M25" i="17"/>
  <c r="M25" i="24"/>
  <c r="M25" i="16"/>
  <c r="M25" i="25"/>
  <c r="M25" i="14"/>
  <c r="M25" i="10"/>
  <c r="M25" i="20"/>
  <c r="M25" i="26"/>
  <c r="M25" i="19"/>
  <c r="M25" i="15"/>
  <c r="M25" i="21"/>
  <c r="M25" i="8"/>
  <c r="M25" i="9"/>
  <c r="M25" i="13"/>
  <c r="M25" i="22"/>
  <c r="D21" i="20"/>
  <c r="G21" i="20"/>
  <c r="O21" i="20" s="1"/>
  <c r="H21" i="20"/>
  <c r="P21" i="20" s="1"/>
  <c r="F21" i="20"/>
  <c r="N21" i="20" s="1"/>
  <c r="D21" i="13"/>
  <c r="F21" i="13"/>
  <c r="N21" i="13" s="1"/>
  <c r="H21" i="13"/>
  <c r="P21" i="13" s="1"/>
  <c r="G21" i="13"/>
  <c r="O21" i="13" s="1"/>
  <c r="E48" i="23"/>
  <c r="H48" i="23"/>
  <c r="J56" i="14"/>
  <c r="E27" i="14"/>
  <c r="D27" i="14" s="1"/>
  <c r="G27" i="14"/>
  <c r="O27" i="14" s="1"/>
  <c r="H26" i="11"/>
  <c r="P26" i="11" s="1"/>
  <c r="E26" i="11"/>
  <c r="D26" i="11" s="1"/>
  <c r="G26" i="22"/>
  <c r="O26" i="22" s="1"/>
  <c r="E26" i="22"/>
  <c r="D26" i="22" s="1"/>
  <c r="G10" i="12"/>
  <c r="F10" i="12"/>
  <c r="E44" i="34"/>
  <c r="D37" i="11"/>
  <c r="E48" i="24"/>
  <c r="G48" i="24"/>
  <c r="K48" i="24" s="1"/>
  <c r="E47" i="15"/>
  <c r="G47" i="15"/>
  <c r="I48" i="12"/>
  <c r="I48" i="25"/>
  <c r="I55" i="20"/>
  <c r="I55" i="18"/>
  <c r="I55" i="17"/>
  <c r="I55" i="7"/>
  <c r="I55" i="9"/>
  <c r="I55" i="11"/>
  <c r="I55" i="21"/>
  <c r="I55" i="23"/>
  <c r="I55" i="25"/>
  <c r="I55" i="14"/>
  <c r="I55" i="19"/>
  <c r="I55" i="15"/>
  <c r="I55" i="16"/>
  <c r="I55" i="8"/>
  <c r="I55" i="10"/>
  <c r="I55" i="13"/>
  <c r="I55" i="22"/>
  <c r="I55" i="24"/>
  <c r="I55" i="26"/>
  <c r="I57" i="18"/>
  <c r="I57" i="11"/>
  <c r="I57" i="23"/>
  <c r="I57" i="25"/>
  <c r="I57" i="5"/>
  <c r="I57" i="26"/>
  <c r="E11" i="18"/>
  <c r="B36" i="34" s="1"/>
  <c r="F65" i="26"/>
  <c r="I56" i="12"/>
  <c r="I56" i="14"/>
  <c r="I56" i="19"/>
  <c r="I56" i="15"/>
  <c r="I56" i="16"/>
  <c r="I56" i="8"/>
  <c r="I56" i="10"/>
  <c r="I56" i="13"/>
  <c r="I56" i="22"/>
  <c r="I56" i="24"/>
  <c r="I56" i="26"/>
  <c r="I56" i="20"/>
  <c r="I56" i="18"/>
  <c r="I56" i="17"/>
  <c r="I56" i="7"/>
  <c r="I56" i="9"/>
  <c r="I56" i="11"/>
  <c r="I56" i="21"/>
  <c r="I56" i="25"/>
  <c r="I64" i="12"/>
  <c r="I64" i="15"/>
  <c r="I64" i="16"/>
  <c r="I64" i="8"/>
  <c r="I64" i="10"/>
  <c r="I64" i="13"/>
  <c r="I64" i="22"/>
  <c r="I64" i="24"/>
  <c r="I64" i="26"/>
  <c r="I64" i="5"/>
  <c r="I64" i="18"/>
  <c r="I64" i="17"/>
  <c r="I64" i="7"/>
  <c r="I64" i="9"/>
  <c r="I64" i="11"/>
  <c r="I64" i="21"/>
  <c r="I64" i="23"/>
  <c r="I64" i="25"/>
  <c r="G20" i="5"/>
  <c r="O20" i="5" s="1"/>
  <c r="D20" i="5"/>
  <c r="F20" i="5"/>
  <c r="H20" i="5"/>
  <c r="P20" i="5" s="1"/>
  <c r="F18" i="5"/>
  <c r="N18" i="5" s="1"/>
  <c r="H18" i="5"/>
  <c r="P18" i="5" s="1"/>
  <c r="G18" i="5"/>
  <c r="O18" i="5" s="1"/>
  <c r="D18" i="5"/>
  <c r="G15" i="5"/>
  <c r="O15" i="5" s="1"/>
  <c r="F15" i="5"/>
  <c r="N15" i="5" s="1"/>
  <c r="H15" i="5"/>
  <c r="P15" i="5" s="1"/>
  <c r="D15" i="5"/>
  <c r="F54" i="16"/>
  <c r="J54" i="16" s="1"/>
  <c r="E104" i="12"/>
  <c r="D55" i="16"/>
  <c r="F55" i="16"/>
  <c r="H55" i="16"/>
  <c r="L55" i="16" s="1"/>
  <c r="G55" i="16"/>
  <c r="H55" i="17"/>
  <c r="G55" i="17"/>
  <c r="H55" i="9"/>
  <c r="L55" i="9" s="1"/>
  <c r="G55" i="9"/>
  <c r="E65" i="5"/>
  <c r="H65" i="13"/>
  <c r="D23" i="5"/>
  <c r="F23" i="5"/>
  <c r="J23" i="5" s="1"/>
  <c r="H23" i="5"/>
  <c r="L23" i="5" s="1"/>
  <c r="G23" i="5"/>
  <c r="K23" i="5" s="1"/>
  <c r="M7" i="14"/>
  <c r="M7" i="19"/>
  <c r="M7" i="17"/>
  <c r="M7" i="7"/>
  <c r="M7" i="9"/>
  <c r="M7" i="13"/>
  <c r="M7" i="22"/>
  <c r="M7" i="24"/>
  <c r="M7" i="26"/>
  <c r="M7" i="20"/>
  <c r="M7" i="15"/>
  <c r="M7" i="16"/>
  <c r="M7" i="8"/>
  <c r="M7" i="10"/>
  <c r="M7" i="21"/>
  <c r="M7" i="23"/>
  <c r="M7" i="25"/>
  <c r="N21" i="12"/>
  <c r="N21" i="18"/>
  <c r="N21" i="7"/>
  <c r="N21" i="9"/>
  <c r="N21" i="11"/>
  <c r="N21" i="21"/>
  <c r="N21" i="23"/>
  <c r="N21" i="14"/>
  <c r="N21" i="19"/>
  <c r="N21" i="16"/>
  <c r="N21" i="10"/>
  <c r="N21" i="22"/>
  <c r="N21" i="26"/>
  <c r="O16" i="18"/>
  <c r="O16" i="9"/>
  <c r="O16" i="14"/>
  <c r="O16" i="15"/>
  <c r="O16" i="8"/>
  <c r="O16" i="13"/>
  <c r="O16" i="22"/>
  <c r="O16" i="24"/>
  <c r="O25" i="5"/>
  <c r="O25" i="20"/>
  <c r="O25" i="18"/>
  <c r="O25" i="17"/>
  <c r="O25" i="7"/>
  <c r="O25" i="9"/>
  <c r="O25" i="11"/>
  <c r="O25" i="21"/>
  <c r="O25" i="23"/>
  <c r="O25" i="25"/>
  <c r="O25" i="14"/>
  <c r="O25" i="19"/>
  <c r="O25" i="15"/>
  <c r="O25" i="16"/>
  <c r="O25" i="8"/>
  <c r="O25" i="10"/>
  <c r="O25" i="13"/>
  <c r="O25" i="22"/>
  <c r="O25" i="24"/>
  <c r="O25" i="26"/>
  <c r="O25" i="12"/>
  <c r="P34" i="20"/>
  <c r="P34" i="18"/>
  <c r="P34" i="17"/>
  <c r="P34" i="7"/>
  <c r="P34" i="9"/>
  <c r="P34" i="11"/>
  <c r="P34" i="21"/>
  <c r="P34" i="23"/>
  <c r="P34" i="25"/>
  <c r="P34" i="14"/>
  <c r="P34" i="19"/>
  <c r="P34" i="15"/>
  <c r="P34" i="16"/>
  <c r="P34" i="8"/>
  <c r="P34" i="10"/>
  <c r="P34" i="13"/>
  <c r="P34" i="22"/>
  <c r="P34" i="24"/>
  <c r="P34" i="26"/>
  <c r="P63" i="18"/>
  <c r="P63" i="7"/>
  <c r="P63" i="11"/>
  <c r="P63" i="23"/>
  <c r="P63" i="20"/>
  <c r="P63" i="17"/>
  <c r="P63" i="9"/>
  <c r="P63" i="21"/>
  <c r="P63" i="25"/>
  <c r="P63" i="12"/>
  <c r="H44" i="29"/>
  <c r="G65" i="23"/>
  <c r="N9" i="5"/>
  <c r="N9" i="14"/>
  <c r="N9" i="19"/>
  <c r="N9" i="15"/>
  <c r="N9" i="16"/>
  <c r="N9" i="8"/>
  <c r="N9" i="10"/>
  <c r="N9" i="13"/>
  <c r="N9" i="22"/>
  <c r="N9" i="24"/>
  <c r="N9" i="26"/>
  <c r="N9" i="20"/>
  <c r="N9" i="18"/>
  <c r="N9" i="17"/>
  <c r="N9" i="7"/>
  <c r="N9" i="9"/>
  <c r="N9" i="11"/>
  <c r="N9" i="21"/>
  <c r="N9" i="23"/>
  <c r="N9" i="25"/>
  <c r="N26" i="5"/>
  <c r="N26" i="20"/>
  <c r="N26" i="17"/>
  <c r="N26" i="7"/>
  <c r="N26" i="9"/>
  <c r="N26" i="11"/>
  <c r="N26" i="21"/>
  <c r="N26" i="23"/>
  <c r="N26" i="25"/>
  <c r="N26" i="12"/>
  <c r="N26" i="14"/>
  <c r="N26" i="19"/>
  <c r="N26" i="15"/>
  <c r="N26" i="8"/>
  <c r="N26" i="10"/>
  <c r="N26" i="13"/>
  <c r="N26" i="24"/>
  <c r="N26" i="26"/>
  <c r="O7" i="18"/>
  <c r="O7" i="7"/>
  <c r="O7" i="11"/>
  <c r="O7" i="25"/>
  <c r="O7" i="20"/>
  <c r="O7" i="17"/>
  <c r="O7" i="9"/>
  <c r="O7" i="21"/>
  <c r="O7" i="12"/>
  <c r="O20" i="20"/>
  <c r="O20" i="18"/>
  <c r="O20" i="17"/>
  <c r="O20" i="7"/>
  <c r="O20" i="9"/>
  <c r="O20" i="11"/>
  <c r="O20" i="21"/>
  <c r="O20" i="23"/>
  <c r="O20" i="25"/>
  <c r="O20" i="14"/>
  <c r="O20" i="19"/>
  <c r="O20" i="15"/>
  <c r="O20" i="16"/>
  <c r="O20" i="8"/>
  <c r="O20" i="10"/>
  <c r="O20" i="13"/>
  <c r="O20" i="22"/>
  <c r="O20" i="24"/>
  <c r="O20" i="26"/>
  <c r="O33" i="17"/>
  <c r="O33" i="9"/>
  <c r="O33" i="23"/>
  <c r="O33" i="26"/>
  <c r="O46" i="5"/>
  <c r="O46" i="20"/>
  <c r="O46" i="18"/>
  <c r="O46" i="17"/>
  <c r="O46" i="7"/>
  <c r="O46" i="9"/>
  <c r="O46" i="11"/>
  <c r="O46" i="21"/>
  <c r="O46" i="23"/>
  <c r="O46" i="25"/>
  <c r="O46" i="14"/>
  <c r="O46" i="19"/>
  <c r="O46" i="15"/>
  <c r="O46" i="16"/>
  <c r="O46" i="8"/>
  <c r="O46" i="10"/>
  <c r="O46" i="13"/>
  <c r="O46" i="22"/>
  <c r="O46" i="24"/>
  <c r="O46" i="26"/>
  <c r="O46" i="12"/>
  <c r="D60" i="16"/>
  <c r="I60" i="16"/>
  <c r="I23" i="5"/>
  <c r="D54" i="20"/>
  <c r="I54" i="20"/>
  <c r="F54" i="20"/>
  <c r="H54" i="20"/>
  <c r="L54" i="20" s="1"/>
  <c r="G54" i="20"/>
  <c r="D54" i="18"/>
  <c r="G54" i="18"/>
  <c r="K54" i="18" s="1"/>
  <c r="I54" i="18"/>
  <c r="F54" i="18"/>
  <c r="J54" i="18" s="1"/>
  <c r="H54" i="18"/>
  <c r="L54" i="18" s="1"/>
  <c r="D59" i="8"/>
  <c r="G59" i="8"/>
  <c r="K59" i="8" s="1"/>
  <c r="I59" i="8"/>
  <c r="F59" i="8"/>
  <c r="H59" i="8"/>
  <c r="L59" i="8" s="1"/>
  <c r="G65" i="9"/>
  <c r="H38" i="29"/>
  <c r="H41" i="29"/>
  <c r="G45" i="29"/>
  <c r="I54" i="14"/>
  <c r="F54" i="14"/>
  <c r="H54" i="14"/>
  <c r="L54" i="14" s="1"/>
  <c r="G54" i="14"/>
  <c r="D54" i="14"/>
  <c r="D59" i="16"/>
  <c r="I59" i="16"/>
  <c r="F59" i="16"/>
  <c r="H59" i="16"/>
  <c r="G59" i="16"/>
  <c r="D60" i="26"/>
  <c r="I60" i="26"/>
  <c r="E10" i="29"/>
  <c r="D54" i="9"/>
  <c r="G54" i="9"/>
  <c r="K54" i="9" s="1"/>
  <c r="I54" i="9"/>
  <c r="F54" i="9"/>
  <c r="J54" i="9" s="1"/>
  <c r="H54" i="9"/>
  <c r="L54" i="9" s="1"/>
  <c r="D54" i="11"/>
  <c r="I54" i="11"/>
  <c r="F54" i="11"/>
  <c r="H54" i="11"/>
  <c r="G54" i="11"/>
  <c r="K54" i="11" s="1"/>
  <c r="D54" i="7"/>
  <c r="I54" i="7"/>
  <c r="F54" i="7"/>
  <c r="H54" i="7"/>
  <c r="G54" i="7"/>
  <c r="D54" i="21"/>
  <c r="G54" i="21"/>
  <c r="I54" i="21"/>
  <c r="F54" i="21"/>
  <c r="H54" i="21"/>
  <c r="E13" i="18"/>
  <c r="D13" i="18" s="1"/>
  <c r="G6" i="18"/>
  <c r="H6" i="7"/>
  <c r="G6" i="11"/>
  <c r="H6" i="19"/>
  <c r="E11" i="19"/>
  <c r="F6" i="15"/>
  <c r="F11" i="15" s="1"/>
  <c r="H6" i="16"/>
  <c r="H6" i="8"/>
  <c r="F6" i="13"/>
  <c r="F6" i="22"/>
  <c r="E65" i="16"/>
  <c r="H28" i="29"/>
  <c r="G65" i="18"/>
  <c r="E59" i="12"/>
  <c r="C62" i="29"/>
  <c r="G49" i="30" s="1"/>
  <c r="D54" i="17"/>
  <c r="G54" i="17"/>
  <c r="I54" i="17"/>
  <c r="F54" i="17"/>
  <c r="J54" i="17" s="1"/>
  <c r="H54" i="17"/>
  <c r="D58" i="14"/>
  <c r="F58" i="14"/>
  <c r="G58" i="14"/>
  <c r="H58" i="14"/>
  <c r="I58" i="14"/>
  <c r="G58" i="8"/>
  <c r="K58" i="8" s="1"/>
  <c r="D58" i="8"/>
  <c r="F58" i="8"/>
  <c r="H58" i="8"/>
  <c r="L58" i="8" s="1"/>
  <c r="I58" i="8"/>
  <c r="F59" i="22"/>
  <c r="H59" i="22"/>
  <c r="D59" i="22"/>
  <c r="I59" i="22"/>
  <c r="G59" i="22"/>
  <c r="G54" i="25"/>
  <c r="K54" i="25" s="1"/>
  <c r="H54" i="25"/>
  <c r="E58" i="12"/>
  <c r="M58" i="12" s="1"/>
  <c r="E55" i="5"/>
  <c r="C58" i="29"/>
  <c r="G45" i="30" s="1"/>
  <c r="I54" i="23"/>
  <c r="G54" i="23"/>
  <c r="D54" i="23"/>
  <c r="F54" i="23"/>
  <c r="H54" i="23"/>
  <c r="L54" i="23" s="1"/>
  <c r="C56" i="23"/>
  <c r="E56" i="23" s="1"/>
  <c r="M56" i="23" s="1"/>
  <c r="D55" i="14"/>
  <c r="F55" i="14"/>
  <c r="H55" i="14"/>
  <c r="L55" i="14" s="1"/>
  <c r="G55" i="14"/>
  <c r="F55" i="18"/>
  <c r="J55" i="18" s="1"/>
  <c r="H55" i="18"/>
  <c r="D55" i="18"/>
  <c r="G55" i="18"/>
  <c r="D58" i="19"/>
  <c r="F58" i="19"/>
  <c r="H58" i="19"/>
  <c r="L58" i="19" s="1"/>
  <c r="I58" i="19"/>
  <c r="G58" i="19"/>
  <c r="D58" i="7"/>
  <c r="G58" i="7"/>
  <c r="K58" i="7" s="1"/>
  <c r="I58" i="7"/>
  <c r="F58" i="7"/>
  <c r="J58" i="7" s="1"/>
  <c r="H58" i="7"/>
  <c r="H59" i="21"/>
  <c r="L59" i="21" s="1"/>
  <c r="I59" i="21"/>
  <c r="F59" i="21"/>
  <c r="J59" i="21" s="1"/>
  <c r="G65" i="7"/>
  <c r="G44" i="29"/>
  <c r="G41" i="29"/>
  <c r="D104" i="26"/>
  <c r="D121" i="26" s="1"/>
  <c r="E100" i="26"/>
  <c r="C52" i="26"/>
  <c r="D56" i="25"/>
  <c r="D104" i="25"/>
  <c r="D121" i="25" s="1"/>
  <c r="E100" i="25"/>
  <c r="E97" i="25"/>
  <c r="F121" i="24"/>
  <c r="D104" i="24"/>
  <c r="D121" i="24" s="1"/>
  <c r="E100" i="24"/>
  <c r="E97" i="24"/>
  <c r="F121" i="23"/>
  <c r="D104" i="23"/>
  <c r="D121" i="23" s="1"/>
  <c r="E100" i="23"/>
  <c r="E97" i="23"/>
  <c r="D104" i="5"/>
  <c r="D121" i="5" s="1"/>
  <c r="E100" i="5"/>
  <c r="E97" i="5"/>
  <c r="H58" i="5"/>
  <c r="L58" i="5" s="1"/>
  <c r="E31" i="34"/>
  <c r="K54" i="12"/>
  <c r="I54" i="12"/>
  <c r="F54" i="12"/>
  <c r="N54" i="12" s="1"/>
  <c r="G100" i="12"/>
  <c r="G104" i="12" s="1"/>
  <c r="H54" i="12"/>
  <c r="P54" i="12" s="1"/>
  <c r="D54" i="12"/>
  <c r="F65" i="12"/>
  <c r="E31" i="29"/>
  <c r="D31" i="29" s="1"/>
  <c r="E41" i="29"/>
  <c r="D41" i="29" s="1"/>
  <c r="D41" i="12"/>
  <c r="E44" i="29"/>
  <c r="D44" i="29" s="1"/>
  <c r="D42" i="12"/>
  <c r="E45" i="29"/>
  <c r="D45" i="29" s="1"/>
  <c r="E40" i="29"/>
  <c r="D40" i="29" s="1"/>
  <c r="D37" i="12"/>
  <c r="E42" i="29"/>
  <c r="D42" i="29" s="1"/>
  <c r="D39" i="12"/>
  <c r="G63" i="29"/>
  <c r="C57" i="12"/>
  <c r="E57" i="12" s="1"/>
  <c r="I57" i="12" s="1"/>
  <c r="D63" i="23"/>
  <c r="D65" i="23" s="1"/>
  <c r="E65" i="23"/>
  <c r="D63" i="11"/>
  <c r="D65" i="11" s="1"/>
  <c r="E65" i="11"/>
  <c r="D63" i="18"/>
  <c r="D65" i="18" s="1"/>
  <c r="E65" i="18"/>
  <c r="D63" i="12"/>
  <c r="D65" i="12" s="1"/>
  <c r="E65" i="12"/>
  <c r="C140" i="22"/>
  <c r="D55" i="22"/>
  <c r="G55" i="22"/>
  <c r="F55" i="22"/>
  <c r="H55" i="22"/>
  <c r="D60" i="22"/>
  <c r="I60" i="22"/>
  <c r="C121" i="13"/>
  <c r="D60" i="12"/>
  <c r="I60" i="12"/>
  <c r="G57" i="25"/>
  <c r="K57" i="25" s="1"/>
  <c r="E13" i="25"/>
  <c r="M13" i="25" s="1"/>
  <c r="G59" i="24"/>
  <c r="K59" i="24" s="1"/>
  <c r="D59" i="24"/>
  <c r="I59" i="24"/>
  <c r="F59" i="24"/>
  <c r="H59" i="24"/>
  <c r="F121" i="22"/>
  <c r="F121" i="13"/>
  <c r="E13" i="9"/>
  <c r="E29" i="9" s="1"/>
  <c r="C42" i="34" s="1"/>
  <c r="F55" i="8"/>
  <c r="H55" i="8"/>
  <c r="D55" i="8"/>
  <c r="G55" i="8"/>
  <c r="G6" i="7"/>
  <c r="G31" i="29"/>
  <c r="D60" i="7"/>
  <c r="I60" i="7"/>
  <c r="F121" i="7"/>
  <c r="C29" i="19"/>
  <c r="D9" i="49" s="1"/>
  <c r="E82" i="49" s="1"/>
  <c r="D15" i="19"/>
  <c r="F15" i="19"/>
  <c r="N15" i="19" s="1"/>
  <c r="H15" i="19"/>
  <c r="P15" i="19" s="1"/>
  <c r="G15" i="19"/>
  <c r="O15" i="19" s="1"/>
  <c r="E13" i="20"/>
  <c r="D13" i="20" s="1"/>
  <c r="G56" i="12"/>
  <c r="K56" i="12" s="1"/>
  <c r="D56" i="12"/>
  <c r="F56" i="12"/>
  <c r="J56" i="12" s="1"/>
  <c r="H56" i="12"/>
  <c r="L56" i="12" s="1"/>
  <c r="F58" i="5"/>
  <c r="D58" i="5"/>
  <c r="G58" i="5"/>
  <c r="F16" i="5"/>
  <c r="N16" i="5" s="1"/>
  <c r="H16" i="5"/>
  <c r="P16" i="5" s="1"/>
  <c r="D16" i="5"/>
  <c r="G16" i="5"/>
  <c r="O16" i="5" s="1"/>
  <c r="E13" i="5"/>
  <c r="H13" i="5" s="1"/>
  <c r="P13" i="5" s="1"/>
  <c r="BH29" i="27"/>
  <c r="BH34" i="27" s="1"/>
  <c r="BJ29" i="27"/>
  <c r="BJ34" i="27" s="1"/>
  <c r="BI29" i="27"/>
  <c r="BI34" i="27" s="1"/>
  <c r="BK29" i="27"/>
  <c r="BK34" i="27" s="1"/>
  <c r="BH24" i="27"/>
  <c r="BK24" i="27"/>
  <c r="BJ27" i="27"/>
  <c r="BH32" i="27"/>
  <c r="BJ35" i="27"/>
  <c r="BK35" i="27"/>
  <c r="BI35" i="27"/>
  <c r="BK32" i="27"/>
  <c r="BK27" i="27"/>
  <c r="BJ24" i="27"/>
  <c r="BH27" i="27"/>
  <c r="BI27" i="27"/>
  <c r="BJ32" i="27"/>
  <c r="BH35" i="27"/>
  <c r="BI32" i="27"/>
  <c r="BI24" i="27"/>
  <c r="E13" i="12"/>
  <c r="M13" i="12" s="1"/>
  <c r="C29" i="12"/>
  <c r="D6" i="49" s="1"/>
  <c r="D55" i="11"/>
  <c r="G55" i="11"/>
  <c r="K55" i="11" s="1"/>
  <c r="F55" i="11"/>
  <c r="J55" i="11" s="1"/>
  <c r="H55" i="11"/>
  <c r="L55" i="11" s="1"/>
  <c r="D56" i="18"/>
  <c r="F56" i="18"/>
  <c r="J56" i="18" s="1"/>
  <c r="H56" i="18"/>
  <c r="G56" i="18"/>
  <c r="D56" i="7"/>
  <c r="F56" i="7"/>
  <c r="J56" i="7" s="1"/>
  <c r="H56" i="7"/>
  <c r="L56" i="7" s="1"/>
  <c r="G56" i="7"/>
  <c r="K56" i="7" s="1"/>
  <c r="D56" i="11"/>
  <c r="F56" i="11"/>
  <c r="J56" i="11" s="1"/>
  <c r="H56" i="11"/>
  <c r="G56" i="11"/>
  <c r="D58" i="16"/>
  <c r="H58" i="16"/>
  <c r="L58" i="16" s="1"/>
  <c r="G58" i="16"/>
  <c r="I58" i="16"/>
  <c r="F58" i="16"/>
  <c r="D59" i="15"/>
  <c r="I59" i="15"/>
  <c r="G59" i="15"/>
  <c r="F59" i="15"/>
  <c r="H59" i="15"/>
  <c r="L59" i="15" s="1"/>
  <c r="J34" i="17"/>
  <c r="J34" i="21"/>
  <c r="J34" i="20"/>
  <c r="J34" i="25"/>
  <c r="J34" i="9"/>
  <c r="J7" i="5"/>
  <c r="J7" i="12"/>
  <c r="J7" i="20"/>
  <c r="J7" i="18"/>
  <c r="J7" i="17"/>
  <c r="J7" i="7"/>
  <c r="J7" i="9"/>
  <c r="J7" i="11"/>
  <c r="J7" i="21"/>
  <c r="J7" i="23"/>
  <c r="J7" i="25"/>
  <c r="J7" i="14"/>
  <c r="J7" i="15"/>
  <c r="J7" i="8"/>
  <c r="J7" i="13"/>
  <c r="J7" i="24"/>
  <c r="J7" i="22"/>
  <c r="J7" i="19"/>
  <c r="J7" i="10"/>
  <c r="J7" i="26"/>
  <c r="J7" i="16"/>
  <c r="K55" i="19"/>
  <c r="J63" i="12"/>
  <c r="J63" i="14"/>
  <c r="J63" i="19"/>
  <c r="J63" i="15"/>
  <c r="J63" i="16"/>
  <c r="J63" i="8"/>
  <c r="J63" i="10"/>
  <c r="J63" i="13"/>
  <c r="J63" i="22"/>
  <c r="J63" i="24"/>
  <c r="J63" i="26"/>
  <c r="J63" i="20"/>
  <c r="J63" i="17"/>
  <c r="J63" i="9"/>
  <c r="J63" i="21"/>
  <c r="J63" i="25"/>
  <c r="J63" i="7"/>
  <c r="J63" i="23"/>
  <c r="J63" i="11"/>
  <c r="J63" i="18"/>
  <c r="K46" i="5"/>
  <c r="K46" i="20"/>
  <c r="K46" i="18"/>
  <c r="K46" i="17"/>
  <c r="K46" i="7"/>
  <c r="K46" i="9"/>
  <c r="K46" i="11"/>
  <c r="K46" i="21"/>
  <c r="K46" i="23"/>
  <c r="K46" i="25"/>
  <c r="K46" i="19"/>
  <c r="K46" i="16"/>
  <c r="K46" i="10"/>
  <c r="K46" i="22"/>
  <c r="K46" i="26"/>
  <c r="K46" i="14"/>
  <c r="K46" i="8"/>
  <c r="K46" i="24"/>
  <c r="K46" i="12"/>
  <c r="K46" i="15"/>
  <c r="K46" i="13"/>
  <c r="I34" i="5"/>
  <c r="I34" i="12"/>
  <c r="I34" i="14"/>
  <c r="I34" i="19"/>
  <c r="I34" i="15"/>
  <c r="I34" i="16"/>
  <c r="I34" i="8"/>
  <c r="I34" i="10"/>
  <c r="I34" i="13"/>
  <c r="I34" i="22"/>
  <c r="I34" i="24"/>
  <c r="I34" i="26"/>
  <c r="I34" i="18"/>
  <c r="I34" i="7"/>
  <c r="I34" i="11"/>
  <c r="I34" i="23"/>
  <c r="I34" i="17"/>
  <c r="I34" i="21"/>
  <c r="I34" i="9"/>
  <c r="I34" i="20"/>
  <c r="I34" i="25"/>
  <c r="K13" i="5"/>
  <c r="K13" i="12"/>
  <c r="K13" i="20"/>
  <c r="K13" i="18"/>
  <c r="K13" i="17"/>
  <c r="K13" i="7"/>
  <c r="K13" i="9"/>
  <c r="K13" i="11"/>
  <c r="K13" i="21"/>
  <c r="K13" i="23"/>
  <c r="K13" i="25"/>
  <c r="K13" i="19"/>
  <c r="K13" i="16"/>
  <c r="K13" i="10"/>
  <c r="K13" i="22"/>
  <c r="K13" i="26"/>
  <c r="K13" i="15"/>
  <c r="K13" i="13"/>
  <c r="K13" i="14"/>
  <c r="K13" i="8"/>
  <c r="K13" i="24"/>
  <c r="I13" i="12"/>
  <c r="I13" i="5"/>
  <c r="I13" i="14"/>
  <c r="I13" i="19"/>
  <c r="I13" i="15"/>
  <c r="I13" i="16"/>
  <c r="I13" i="8"/>
  <c r="I13" i="10"/>
  <c r="I13" i="13"/>
  <c r="I13" i="22"/>
  <c r="I13" i="24"/>
  <c r="I13" i="26"/>
  <c r="I13" i="18"/>
  <c r="I13" i="7"/>
  <c r="I13" i="11"/>
  <c r="I13" i="23"/>
  <c r="I13" i="17"/>
  <c r="I13" i="21"/>
  <c r="I13" i="20"/>
  <c r="I13" i="25"/>
  <c r="I13" i="9"/>
  <c r="J10" i="14"/>
  <c r="J10" i="19"/>
  <c r="J10" i="15"/>
  <c r="J10" i="16"/>
  <c r="J10" i="8"/>
  <c r="J10" i="10"/>
  <c r="J10" i="13"/>
  <c r="J10" i="22"/>
  <c r="J10" i="24"/>
  <c r="J10" i="26"/>
  <c r="J10" i="18"/>
  <c r="J10" i="7"/>
  <c r="J10" i="11"/>
  <c r="J10" i="23"/>
  <c r="J10" i="20"/>
  <c r="J10" i="9"/>
  <c r="J10" i="25"/>
  <c r="J10" i="17"/>
  <c r="J10" i="21"/>
  <c r="L64" i="12"/>
  <c r="L64" i="5"/>
  <c r="L64" i="15"/>
  <c r="L64" i="16"/>
  <c r="L64" i="8"/>
  <c r="L64" i="10"/>
  <c r="L64" i="13"/>
  <c r="L64" i="22"/>
  <c r="L64" i="24"/>
  <c r="L64" i="26"/>
  <c r="L64" i="18"/>
  <c r="L64" i="7"/>
  <c r="L64" i="11"/>
  <c r="L64" i="23"/>
  <c r="L64" i="9"/>
  <c r="L64" i="17"/>
  <c r="L64" i="21"/>
  <c r="L64" i="25"/>
  <c r="L41" i="5"/>
  <c r="L41" i="12"/>
  <c r="L41" i="14"/>
  <c r="L41" i="19"/>
  <c r="L41" i="15"/>
  <c r="L41" i="16"/>
  <c r="L41" i="8"/>
  <c r="L41" i="10"/>
  <c r="L41" i="13"/>
  <c r="L41" i="22"/>
  <c r="L41" i="24"/>
  <c r="L41" i="26"/>
  <c r="L41" i="20"/>
  <c r="L41" i="17"/>
  <c r="L41" i="9"/>
  <c r="L41" i="21"/>
  <c r="L41" i="25"/>
  <c r="L41" i="23"/>
  <c r="L41" i="18"/>
  <c r="L41" i="11"/>
  <c r="L41" i="7"/>
  <c r="L39" i="5"/>
  <c r="L39" i="12"/>
  <c r="L39" i="14"/>
  <c r="L39" i="19"/>
  <c r="L39" i="15"/>
  <c r="L39" i="16"/>
  <c r="L39" i="8"/>
  <c r="L39" i="10"/>
  <c r="L39" i="13"/>
  <c r="L39" i="22"/>
  <c r="L39" i="24"/>
  <c r="L39" i="26"/>
  <c r="L39" i="18"/>
  <c r="L39" i="7"/>
  <c r="L39" i="11"/>
  <c r="L39" i="23"/>
  <c r="L39" i="21"/>
  <c r="L39" i="20"/>
  <c r="L39" i="9"/>
  <c r="L39" i="25"/>
  <c r="L39" i="17"/>
  <c r="L35" i="5"/>
  <c r="L35" i="12"/>
  <c r="L35" i="14"/>
  <c r="L35" i="19"/>
  <c r="L35" i="15"/>
  <c r="L35" i="16"/>
  <c r="L35" i="8"/>
  <c r="L35" i="10"/>
  <c r="L35" i="13"/>
  <c r="L35" i="22"/>
  <c r="L35" i="24"/>
  <c r="L35" i="26"/>
  <c r="L35" i="20"/>
  <c r="L35" i="17"/>
  <c r="L35" i="9"/>
  <c r="L35" i="21"/>
  <c r="L35" i="25"/>
  <c r="L35" i="18"/>
  <c r="L35" i="7"/>
  <c r="L35" i="23"/>
  <c r="L35" i="11"/>
  <c r="L33" i="5"/>
  <c r="L33" i="12"/>
  <c r="L33" i="14"/>
  <c r="L33" i="19"/>
  <c r="L33" i="15"/>
  <c r="L33" i="16"/>
  <c r="L33" i="8"/>
  <c r="L33" i="10"/>
  <c r="L33" i="13"/>
  <c r="L33" i="22"/>
  <c r="L33" i="24"/>
  <c r="L33" i="26"/>
  <c r="L33" i="18"/>
  <c r="L33" i="7"/>
  <c r="L33" i="11"/>
  <c r="L33" i="23"/>
  <c r="L33" i="20"/>
  <c r="L33" i="17"/>
  <c r="L33" i="21"/>
  <c r="L33" i="9"/>
  <c r="L33" i="25"/>
  <c r="L27" i="5"/>
  <c r="L27" i="12"/>
  <c r="L27" i="14"/>
  <c r="L27" i="19"/>
  <c r="L27" i="15"/>
  <c r="L27" i="16"/>
  <c r="L27" i="8"/>
  <c r="L27" i="10"/>
  <c r="L27" i="13"/>
  <c r="L27" i="22"/>
  <c r="L27" i="24"/>
  <c r="L27" i="26"/>
  <c r="L27" i="20"/>
  <c r="L27" i="17"/>
  <c r="L27" i="9"/>
  <c r="L27" i="21"/>
  <c r="L27" i="25"/>
  <c r="L27" i="23"/>
  <c r="L27" i="18"/>
  <c r="L27" i="11"/>
  <c r="L27" i="7"/>
  <c r="L25" i="5"/>
  <c r="L25" i="12"/>
  <c r="L25" i="14"/>
  <c r="L25" i="19"/>
  <c r="L25" i="15"/>
  <c r="L25" i="16"/>
  <c r="L25" i="8"/>
  <c r="L25" i="10"/>
  <c r="L25" i="13"/>
  <c r="L25" i="22"/>
  <c r="L25" i="24"/>
  <c r="L25" i="26"/>
  <c r="L25" i="18"/>
  <c r="L25" i="7"/>
  <c r="L25" i="11"/>
  <c r="L25" i="23"/>
  <c r="L25" i="17"/>
  <c r="L25" i="20"/>
  <c r="L25" i="9"/>
  <c r="L25" i="25"/>
  <c r="L25" i="21"/>
  <c r="L21" i="5"/>
  <c r="L21" i="12"/>
  <c r="L21" i="14"/>
  <c r="L21" i="19"/>
  <c r="L21" i="15"/>
  <c r="L21" i="16"/>
  <c r="L21" i="8"/>
  <c r="L21" i="10"/>
  <c r="L21" i="13"/>
  <c r="L21" i="22"/>
  <c r="L21" i="24"/>
  <c r="L21" i="26"/>
  <c r="L21" i="20"/>
  <c r="L21" i="17"/>
  <c r="L21" i="9"/>
  <c r="L21" i="21"/>
  <c r="L21" i="25"/>
  <c r="L21" i="18"/>
  <c r="L21" i="7"/>
  <c r="L21" i="23"/>
  <c r="L21" i="11"/>
  <c r="L19" i="12"/>
  <c r="L19" i="14"/>
  <c r="L19" i="19"/>
  <c r="L19" i="15"/>
  <c r="L19" i="16"/>
  <c r="L19" i="8"/>
  <c r="L19" i="10"/>
  <c r="L19" i="13"/>
  <c r="L19" i="22"/>
  <c r="L19" i="24"/>
  <c r="L19" i="26"/>
  <c r="L19" i="18"/>
  <c r="L19" i="7"/>
  <c r="L19" i="11"/>
  <c r="L19" i="23"/>
  <c r="L19" i="9"/>
  <c r="L19" i="17"/>
  <c r="L19" i="21"/>
  <c r="L19" i="20"/>
  <c r="L19" i="25"/>
  <c r="L17" i="5"/>
  <c r="L17" i="12"/>
  <c r="L17" i="14"/>
  <c r="L17" i="19"/>
  <c r="L17" i="15"/>
  <c r="L17" i="16"/>
  <c r="L17" i="8"/>
  <c r="L17" i="10"/>
  <c r="L17" i="13"/>
  <c r="L17" i="22"/>
  <c r="L17" i="24"/>
  <c r="L17" i="26"/>
  <c r="L17" i="20"/>
  <c r="L17" i="17"/>
  <c r="L17" i="9"/>
  <c r="L17" i="21"/>
  <c r="L17" i="25"/>
  <c r="L17" i="7"/>
  <c r="L17" i="23"/>
  <c r="L17" i="18"/>
  <c r="L17" i="11"/>
  <c r="L15" i="5"/>
  <c r="L15" i="12"/>
  <c r="L15" i="14"/>
  <c r="L15" i="19"/>
  <c r="L15" i="15"/>
  <c r="L15" i="16"/>
  <c r="L15" i="8"/>
  <c r="L15" i="10"/>
  <c r="L15" i="13"/>
  <c r="L15" i="22"/>
  <c r="L15" i="24"/>
  <c r="L15" i="26"/>
  <c r="L15" i="18"/>
  <c r="L15" i="7"/>
  <c r="L15" i="11"/>
  <c r="L15" i="23"/>
  <c r="L15" i="21"/>
  <c r="L15" i="20"/>
  <c r="L15" i="9"/>
  <c r="L15" i="25"/>
  <c r="L15" i="17"/>
  <c r="K57" i="23"/>
  <c r="K42" i="12"/>
  <c r="K42" i="5"/>
  <c r="K42" i="20"/>
  <c r="K42" i="18"/>
  <c r="K42" i="17"/>
  <c r="K42" i="7"/>
  <c r="K42" i="9"/>
  <c r="K42" i="11"/>
  <c r="K42" i="21"/>
  <c r="K42" i="23"/>
  <c r="K42" i="25"/>
  <c r="K42" i="19"/>
  <c r="K42" i="16"/>
  <c r="K42" i="10"/>
  <c r="K42" i="22"/>
  <c r="K42" i="26"/>
  <c r="K42" i="8"/>
  <c r="K42" i="15"/>
  <c r="K42" i="13"/>
  <c r="K42" i="14"/>
  <c r="K42" i="24"/>
  <c r="K40" i="12"/>
  <c r="K40" i="5"/>
  <c r="K40" i="20"/>
  <c r="K40" i="18"/>
  <c r="K40" i="17"/>
  <c r="K40" i="7"/>
  <c r="K40" i="9"/>
  <c r="K40" i="11"/>
  <c r="K40" i="21"/>
  <c r="K40" i="23"/>
  <c r="K40" i="25"/>
  <c r="K40" i="14"/>
  <c r="K40" i="15"/>
  <c r="K40" i="8"/>
  <c r="K40" i="13"/>
  <c r="K40" i="24"/>
  <c r="K40" i="16"/>
  <c r="K40" i="19"/>
  <c r="K40" i="10"/>
  <c r="K40" i="26"/>
  <c r="K40" i="22"/>
  <c r="K38" i="12"/>
  <c r="K38" i="5"/>
  <c r="K38" i="20"/>
  <c r="K38" i="18"/>
  <c r="K38" i="17"/>
  <c r="K38" i="7"/>
  <c r="K38" i="9"/>
  <c r="K38" i="11"/>
  <c r="K38" i="21"/>
  <c r="K38" i="23"/>
  <c r="K38" i="25"/>
  <c r="K38" i="19"/>
  <c r="K38" i="16"/>
  <c r="K38" i="10"/>
  <c r="K38" i="22"/>
  <c r="K38" i="26"/>
  <c r="K38" i="14"/>
  <c r="K38" i="8"/>
  <c r="K38" i="24"/>
  <c r="K38" i="13"/>
  <c r="K38" i="15"/>
  <c r="K28" i="12"/>
  <c r="K28" i="5"/>
  <c r="K28" i="14"/>
  <c r="K28" i="19"/>
  <c r="K28" i="15"/>
  <c r="K28" i="16"/>
  <c r="K28" i="8"/>
  <c r="K28" i="10"/>
  <c r="K28" i="13"/>
  <c r="K28" i="22"/>
  <c r="K28" i="24"/>
  <c r="K28" i="26"/>
  <c r="K28" i="20"/>
  <c r="K28" i="17"/>
  <c r="K28" i="9"/>
  <c r="K28" i="21"/>
  <c r="K28" i="25"/>
  <c r="K28" i="7"/>
  <c r="K28" i="23"/>
  <c r="K28" i="11"/>
  <c r="K28" i="18"/>
  <c r="K26" i="12"/>
  <c r="K26" i="5"/>
  <c r="K26" i="14"/>
  <c r="K26" i="19"/>
  <c r="K26" i="15"/>
  <c r="K26" i="16"/>
  <c r="K26" i="8"/>
  <c r="K26" i="10"/>
  <c r="K26" i="13"/>
  <c r="K26" i="22"/>
  <c r="K26" i="24"/>
  <c r="K26" i="26"/>
  <c r="K26" i="18"/>
  <c r="K26" i="7"/>
  <c r="K26" i="11"/>
  <c r="K26" i="23"/>
  <c r="K26" i="17"/>
  <c r="K26" i="21"/>
  <c r="K26" i="20"/>
  <c r="K26" i="25"/>
  <c r="K26" i="9"/>
  <c r="K22" i="12"/>
  <c r="K22" i="5"/>
  <c r="K22" i="14"/>
  <c r="K22" i="19"/>
  <c r="K22" i="15"/>
  <c r="K22" i="16"/>
  <c r="K22" i="8"/>
  <c r="K22" i="10"/>
  <c r="K22" i="13"/>
  <c r="K22" i="22"/>
  <c r="K22" i="24"/>
  <c r="K22" i="26"/>
  <c r="K22" i="20"/>
  <c r="K22" i="17"/>
  <c r="K22" i="9"/>
  <c r="K22" i="21"/>
  <c r="K22" i="25"/>
  <c r="K22" i="18"/>
  <c r="K22" i="11"/>
  <c r="K22" i="7"/>
  <c r="K22" i="23"/>
  <c r="K20" i="12"/>
  <c r="K20" i="5"/>
  <c r="K20" i="14"/>
  <c r="K20" i="19"/>
  <c r="K20" i="15"/>
  <c r="K20" i="16"/>
  <c r="K20" i="8"/>
  <c r="K20" i="10"/>
  <c r="K20" i="13"/>
  <c r="K20" i="22"/>
  <c r="K20" i="24"/>
  <c r="K20" i="26"/>
  <c r="K20" i="18"/>
  <c r="K20" i="7"/>
  <c r="K20" i="11"/>
  <c r="K20" i="23"/>
  <c r="K20" i="20"/>
  <c r="K20" i="9"/>
  <c r="K20" i="25"/>
  <c r="K20" i="17"/>
  <c r="K20" i="21"/>
  <c r="K18" i="12"/>
  <c r="K18" i="5"/>
  <c r="K18" i="14"/>
  <c r="K18" i="19"/>
  <c r="K18" i="15"/>
  <c r="K18" i="16"/>
  <c r="K18" i="8"/>
  <c r="K18" i="10"/>
  <c r="K18" i="13"/>
  <c r="K18" i="22"/>
  <c r="K18" i="24"/>
  <c r="K18" i="26"/>
  <c r="K18" i="20"/>
  <c r="K18" i="17"/>
  <c r="K18" i="9"/>
  <c r="K18" i="21"/>
  <c r="K18" i="25"/>
  <c r="K18" i="7"/>
  <c r="K18" i="23"/>
  <c r="K18" i="11"/>
  <c r="K18" i="18"/>
  <c r="K16" i="12"/>
  <c r="K16" i="5"/>
  <c r="K16" i="14"/>
  <c r="K16" i="19"/>
  <c r="K16" i="15"/>
  <c r="K16" i="16"/>
  <c r="K16" i="8"/>
  <c r="K16" i="10"/>
  <c r="K16" i="13"/>
  <c r="K16" i="22"/>
  <c r="K16" i="24"/>
  <c r="K16" i="26"/>
  <c r="K16" i="18"/>
  <c r="K16" i="7"/>
  <c r="K16" i="11"/>
  <c r="K16" i="23"/>
  <c r="K16" i="17"/>
  <c r="K16" i="21"/>
  <c r="K16" i="25"/>
  <c r="K16" i="9"/>
  <c r="K16" i="20"/>
  <c r="K10" i="12"/>
  <c r="K10" i="5"/>
  <c r="K10" i="14"/>
  <c r="K10" i="19"/>
  <c r="K10" i="15"/>
  <c r="K10" i="16"/>
  <c r="K10" i="8"/>
  <c r="K10" i="10"/>
  <c r="K10" i="13"/>
  <c r="K10" i="22"/>
  <c r="K10" i="24"/>
  <c r="K10" i="26"/>
  <c r="K10" i="20"/>
  <c r="K10" i="17"/>
  <c r="K10" i="9"/>
  <c r="K10" i="21"/>
  <c r="K10" i="25"/>
  <c r="K10" i="18"/>
  <c r="K10" i="11"/>
  <c r="K10" i="23"/>
  <c r="K10" i="7"/>
  <c r="K8" i="12"/>
  <c r="K8" i="5"/>
  <c r="K8" i="14"/>
  <c r="K8" i="19"/>
  <c r="K8" i="15"/>
  <c r="K8" i="16"/>
  <c r="K8" i="8"/>
  <c r="K8" i="10"/>
  <c r="K8" i="13"/>
  <c r="K8" i="22"/>
  <c r="K8" i="24"/>
  <c r="K8" i="26"/>
  <c r="K8" i="18"/>
  <c r="K8" i="7"/>
  <c r="K8" i="11"/>
  <c r="K8" i="23"/>
  <c r="K8" i="20"/>
  <c r="K8" i="9"/>
  <c r="K8" i="25"/>
  <c r="K8" i="21"/>
  <c r="K8" i="17"/>
  <c r="J64" i="12"/>
  <c r="J64" i="18"/>
  <c r="J64" i="17"/>
  <c r="J64" i="7"/>
  <c r="J64" i="9"/>
  <c r="J64" i="11"/>
  <c r="J64" i="21"/>
  <c r="J64" i="23"/>
  <c r="J64" i="25"/>
  <c r="J64" i="15"/>
  <c r="J64" i="8"/>
  <c r="J64" i="13"/>
  <c r="J64" i="24"/>
  <c r="J64" i="10"/>
  <c r="J64" i="26"/>
  <c r="J64" i="22"/>
  <c r="J64" i="16"/>
  <c r="J41" i="5"/>
  <c r="J41" i="12"/>
  <c r="J41" i="20"/>
  <c r="J41" i="18"/>
  <c r="J41" i="17"/>
  <c r="J41" i="7"/>
  <c r="J41" i="9"/>
  <c r="J41" i="11"/>
  <c r="J41" i="21"/>
  <c r="J41" i="23"/>
  <c r="J41" i="25"/>
  <c r="J41" i="19"/>
  <c r="J41" i="16"/>
  <c r="J41" i="10"/>
  <c r="J41" i="22"/>
  <c r="J41" i="26"/>
  <c r="J41" i="14"/>
  <c r="J41" i="8"/>
  <c r="J41" i="24"/>
  <c r="J41" i="13"/>
  <c r="J41" i="15"/>
  <c r="J39" i="5"/>
  <c r="J39" i="12"/>
  <c r="J39" i="20"/>
  <c r="J39" i="18"/>
  <c r="J39" i="17"/>
  <c r="J39" i="7"/>
  <c r="J39" i="9"/>
  <c r="J39" i="11"/>
  <c r="J39" i="21"/>
  <c r="J39" i="23"/>
  <c r="J39" i="25"/>
  <c r="J39" i="14"/>
  <c r="J39" i="15"/>
  <c r="J39" i="8"/>
  <c r="J39" i="13"/>
  <c r="J39" i="24"/>
  <c r="J39" i="16"/>
  <c r="J39" i="22"/>
  <c r="J39" i="26"/>
  <c r="J39" i="10"/>
  <c r="J39" i="19"/>
  <c r="J35" i="5"/>
  <c r="J35" i="12"/>
  <c r="J35" i="20"/>
  <c r="J35" i="18"/>
  <c r="J35" i="17"/>
  <c r="J35" i="7"/>
  <c r="J35" i="9"/>
  <c r="J35" i="11"/>
  <c r="J35" i="21"/>
  <c r="J35" i="23"/>
  <c r="J35" i="25"/>
  <c r="J35" i="19"/>
  <c r="J35" i="16"/>
  <c r="J35" i="10"/>
  <c r="J35" i="22"/>
  <c r="J35" i="26"/>
  <c r="J35" i="15"/>
  <c r="J35" i="13"/>
  <c r="J35" i="14"/>
  <c r="J35" i="24"/>
  <c r="J35" i="8"/>
  <c r="J33" i="5"/>
  <c r="J33" i="12"/>
  <c r="J33" i="20"/>
  <c r="J33" i="18"/>
  <c r="J33" i="17"/>
  <c r="J33" i="7"/>
  <c r="J33" i="9"/>
  <c r="J33" i="11"/>
  <c r="J33" i="21"/>
  <c r="J33" i="23"/>
  <c r="J33" i="25"/>
  <c r="J33" i="14"/>
  <c r="J33" i="15"/>
  <c r="J33" i="8"/>
  <c r="J33" i="13"/>
  <c r="J33" i="24"/>
  <c r="J33" i="19"/>
  <c r="J33" i="10"/>
  <c r="J33" i="26"/>
  <c r="J33" i="16"/>
  <c r="J33" i="22"/>
  <c r="J27" i="5"/>
  <c r="J27" i="12"/>
  <c r="J27" i="20"/>
  <c r="J27" i="18"/>
  <c r="J27" i="17"/>
  <c r="J27" i="7"/>
  <c r="J27" i="9"/>
  <c r="J27" i="11"/>
  <c r="J27" i="21"/>
  <c r="J27" i="23"/>
  <c r="J27" i="25"/>
  <c r="J27" i="19"/>
  <c r="J27" i="16"/>
  <c r="J27" i="10"/>
  <c r="J27" i="22"/>
  <c r="J27" i="26"/>
  <c r="J27" i="14"/>
  <c r="J27" i="8"/>
  <c r="J27" i="24"/>
  <c r="J27" i="13"/>
  <c r="J27" i="15"/>
  <c r="J25" i="5"/>
  <c r="J25" i="20"/>
  <c r="J25" i="18"/>
  <c r="J25" i="17"/>
  <c r="J25" i="7"/>
  <c r="J25" i="9"/>
  <c r="J25" i="11"/>
  <c r="J25" i="21"/>
  <c r="J25" i="23"/>
  <c r="J25" i="25"/>
  <c r="J25" i="14"/>
  <c r="J25" i="15"/>
  <c r="J25" i="8"/>
  <c r="J25" i="13"/>
  <c r="J25" i="24"/>
  <c r="J25" i="12"/>
  <c r="J25" i="16"/>
  <c r="J25" i="22"/>
  <c r="J25" i="10"/>
  <c r="J25" i="26"/>
  <c r="J25" i="19"/>
  <c r="J21" i="5"/>
  <c r="J21" i="12"/>
  <c r="J21" i="20"/>
  <c r="J21" i="18"/>
  <c r="J21" i="17"/>
  <c r="J21" i="7"/>
  <c r="J21" i="9"/>
  <c r="J21" i="11"/>
  <c r="J21" i="21"/>
  <c r="J21" i="23"/>
  <c r="J21" i="25"/>
  <c r="J21" i="14"/>
  <c r="J21" i="15"/>
  <c r="J21" i="8"/>
  <c r="J21" i="13"/>
  <c r="J21" i="24"/>
  <c r="J21" i="16"/>
  <c r="J21" i="22"/>
  <c r="J21" i="19"/>
  <c r="J21" i="26"/>
  <c r="J21" i="10"/>
  <c r="J19" i="12"/>
  <c r="J19" i="20"/>
  <c r="J19" i="18"/>
  <c r="J19" i="17"/>
  <c r="J19" i="7"/>
  <c r="J19" i="9"/>
  <c r="J19" i="11"/>
  <c r="J19" i="21"/>
  <c r="J19" i="23"/>
  <c r="J19" i="25"/>
  <c r="J19" i="14"/>
  <c r="J19" i="15"/>
  <c r="J19" i="8"/>
  <c r="J19" i="13"/>
  <c r="J19" i="24"/>
  <c r="J19" i="16"/>
  <c r="J19" i="22"/>
  <c r="J19" i="10"/>
  <c r="J19" i="19"/>
  <c r="J19" i="26"/>
  <c r="J17" i="5"/>
  <c r="J17" i="12"/>
  <c r="J17" i="20"/>
  <c r="J17" i="18"/>
  <c r="J17" i="17"/>
  <c r="J17" i="7"/>
  <c r="J17" i="9"/>
  <c r="J17" i="11"/>
  <c r="J17" i="21"/>
  <c r="J17" i="23"/>
  <c r="J17" i="25"/>
  <c r="J17" i="14"/>
  <c r="J17" i="15"/>
  <c r="J17" i="8"/>
  <c r="J17" i="13"/>
  <c r="J17" i="24"/>
  <c r="J17" i="16"/>
  <c r="J17" i="22"/>
  <c r="J17" i="19"/>
  <c r="J17" i="26"/>
  <c r="J17" i="10"/>
  <c r="J15" i="5"/>
  <c r="J15" i="20"/>
  <c r="J15" i="18"/>
  <c r="J15" i="17"/>
  <c r="J15" i="7"/>
  <c r="J15" i="9"/>
  <c r="J15" i="11"/>
  <c r="J15" i="21"/>
  <c r="J15" i="23"/>
  <c r="J15" i="25"/>
  <c r="J15" i="12"/>
  <c r="J15" i="19"/>
  <c r="J15" i="16"/>
  <c r="J15" i="10"/>
  <c r="J15" i="22"/>
  <c r="J15" i="26"/>
  <c r="J15" i="15"/>
  <c r="J15" i="13"/>
  <c r="J15" i="8"/>
  <c r="J15" i="24"/>
  <c r="J15" i="14"/>
  <c r="I41" i="5"/>
  <c r="I41" i="12"/>
  <c r="I41" i="14"/>
  <c r="I41" i="19"/>
  <c r="I41" i="15"/>
  <c r="I41" i="16"/>
  <c r="I41" i="8"/>
  <c r="I41" i="10"/>
  <c r="I41" i="13"/>
  <c r="I41" i="22"/>
  <c r="I41" i="24"/>
  <c r="I41" i="26"/>
  <c r="I41" i="20"/>
  <c r="I41" i="17"/>
  <c r="I41" i="9"/>
  <c r="I41" i="21"/>
  <c r="I41" i="25"/>
  <c r="I41" i="18"/>
  <c r="I41" i="11"/>
  <c r="I41" i="23"/>
  <c r="I41" i="7"/>
  <c r="I39" i="5"/>
  <c r="I39" i="12"/>
  <c r="I39" i="14"/>
  <c r="I39" i="19"/>
  <c r="I39" i="15"/>
  <c r="I39" i="16"/>
  <c r="I39" i="8"/>
  <c r="I39" i="10"/>
  <c r="I39" i="13"/>
  <c r="I39" i="22"/>
  <c r="I39" i="24"/>
  <c r="I39" i="26"/>
  <c r="I39" i="18"/>
  <c r="I39" i="7"/>
  <c r="I39" i="11"/>
  <c r="I39" i="23"/>
  <c r="I39" i="20"/>
  <c r="I39" i="9"/>
  <c r="I39" i="25"/>
  <c r="I39" i="17"/>
  <c r="I39" i="21"/>
  <c r="I35" i="5"/>
  <c r="I35" i="14"/>
  <c r="I35" i="19"/>
  <c r="I35" i="15"/>
  <c r="I35" i="16"/>
  <c r="I35" i="8"/>
  <c r="I35" i="10"/>
  <c r="I35" i="13"/>
  <c r="I35" i="22"/>
  <c r="I35" i="24"/>
  <c r="I35" i="26"/>
  <c r="I35" i="20"/>
  <c r="I35" i="17"/>
  <c r="I35" i="9"/>
  <c r="I35" i="21"/>
  <c r="I35" i="25"/>
  <c r="I35" i="7"/>
  <c r="I35" i="23"/>
  <c r="I35" i="12"/>
  <c r="I35" i="11"/>
  <c r="I35" i="18"/>
  <c r="I7" i="5"/>
  <c r="I7" i="12"/>
  <c r="I7" i="20"/>
  <c r="I7" i="18"/>
  <c r="I7" i="17"/>
  <c r="I7" i="7"/>
  <c r="I7" i="9"/>
  <c r="I7" i="11"/>
  <c r="I7" i="21"/>
  <c r="I7" i="23"/>
  <c r="I7" i="25"/>
  <c r="I7" i="19"/>
  <c r="I7" i="16"/>
  <c r="I7" i="10"/>
  <c r="I7" i="22"/>
  <c r="I7" i="26"/>
  <c r="I7" i="14"/>
  <c r="I7" i="8"/>
  <c r="I7" i="24"/>
  <c r="I7" i="15"/>
  <c r="I7" i="13"/>
  <c r="D54" i="8"/>
  <c r="I54" i="8"/>
  <c r="F54" i="8"/>
  <c r="H54" i="8"/>
  <c r="L54" i="8" s="1"/>
  <c r="G54" i="8"/>
  <c r="K54" i="8" s="1"/>
  <c r="I54" i="24"/>
  <c r="G54" i="24"/>
  <c r="K54" i="24" s="1"/>
  <c r="F54" i="24"/>
  <c r="J54" i="24" s="1"/>
  <c r="H54" i="24"/>
  <c r="D54" i="24"/>
  <c r="D55" i="15"/>
  <c r="G55" i="15"/>
  <c r="F55" i="15"/>
  <c r="J55" i="15" s="1"/>
  <c r="H55" i="15"/>
  <c r="D59" i="25"/>
  <c r="G59" i="25"/>
  <c r="H59" i="25"/>
  <c r="F59" i="25"/>
  <c r="I59" i="25"/>
  <c r="F55" i="7"/>
  <c r="J55" i="7" s="1"/>
  <c r="H55" i="7"/>
  <c r="L55" i="7" s="1"/>
  <c r="G55" i="7"/>
  <c r="D55" i="7"/>
  <c r="D58" i="18"/>
  <c r="F58" i="18"/>
  <c r="J58" i="18" s="1"/>
  <c r="H58" i="18"/>
  <c r="G58" i="18"/>
  <c r="I58" i="18"/>
  <c r="D59" i="9"/>
  <c r="G59" i="9"/>
  <c r="H59" i="9"/>
  <c r="I59" i="9"/>
  <c r="F59" i="9"/>
  <c r="BH12" i="27"/>
  <c r="BH16" i="27"/>
  <c r="BH17" i="27"/>
  <c r="BI12" i="27"/>
  <c r="BI16" i="27"/>
  <c r="BI17" i="27"/>
  <c r="BJ16" i="27"/>
  <c r="BK12" i="27"/>
  <c r="BK17" i="27"/>
  <c r="BJ17" i="27"/>
  <c r="BJ12" i="27"/>
  <c r="BK16" i="27"/>
  <c r="D56" i="15"/>
  <c r="G56" i="15"/>
  <c r="F56" i="15"/>
  <c r="J56" i="15" s="1"/>
  <c r="H56" i="15"/>
  <c r="D56" i="24"/>
  <c r="G56" i="24"/>
  <c r="K56" i="24" s="1"/>
  <c r="H56" i="24"/>
  <c r="L56" i="24" s="1"/>
  <c r="F56" i="24"/>
  <c r="BH39" i="27"/>
  <c r="BI39" i="27"/>
  <c r="BK39" i="27"/>
  <c r="BJ39" i="27"/>
  <c r="BH14" i="27"/>
  <c r="BH15" i="27"/>
  <c r="BH18" i="27"/>
  <c r="BH19" i="27"/>
  <c r="BH20" i="27"/>
  <c r="BH21" i="27"/>
  <c r="BH22" i="27"/>
  <c r="BI14" i="27"/>
  <c r="BI15" i="27"/>
  <c r="BI18" i="27"/>
  <c r="BI19" i="27"/>
  <c r="BI20" i="27"/>
  <c r="BI21" i="27"/>
  <c r="BI22" i="27"/>
  <c r="BJ14" i="27"/>
  <c r="BJ18" i="27"/>
  <c r="BJ20" i="27"/>
  <c r="BJ22" i="27"/>
  <c r="BK15" i="27"/>
  <c r="BK19" i="27"/>
  <c r="BK21" i="27"/>
  <c r="BJ19" i="27"/>
  <c r="BK20" i="27"/>
  <c r="BJ15" i="27"/>
  <c r="BJ21" i="27"/>
  <c r="BK18" i="27"/>
  <c r="BK22" i="27"/>
  <c r="BK14" i="27"/>
  <c r="BH36" i="27"/>
  <c r="BK36" i="27"/>
  <c r="BI36" i="27"/>
  <c r="F26" i="33"/>
  <c r="BJ36" i="27"/>
  <c r="D56" i="13"/>
  <c r="G56" i="13"/>
  <c r="F56" i="13"/>
  <c r="H56" i="13"/>
  <c r="L56" i="13" s="1"/>
  <c r="X37" i="27"/>
  <c r="X34" i="27"/>
  <c r="X38" i="27"/>
  <c r="E25" i="34"/>
  <c r="C121" i="9"/>
  <c r="C52" i="19"/>
  <c r="C57" i="17"/>
  <c r="E57" i="17" s="1"/>
  <c r="C140" i="18"/>
  <c r="D55" i="10"/>
  <c r="G55" i="10"/>
  <c r="K55" i="10" s="1"/>
  <c r="F55" i="10"/>
  <c r="J55" i="10" s="1"/>
  <c r="H55" i="10"/>
  <c r="L55" i="10" s="1"/>
  <c r="D56" i="19"/>
  <c r="F56" i="19"/>
  <c r="H56" i="19"/>
  <c r="L56" i="19" s="1"/>
  <c r="G56" i="19"/>
  <c r="K56" i="19" s="1"/>
  <c r="D56" i="16"/>
  <c r="F56" i="16"/>
  <c r="J56" i="16" s="1"/>
  <c r="H56" i="16"/>
  <c r="L56" i="16" s="1"/>
  <c r="G56" i="16"/>
  <c r="K56" i="16" s="1"/>
  <c r="F56" i="10"/>
  <c r="H56" i="10"/>
  <c r="G56" i="10"/>
  <c r="D56" i="10"/>
  <c r="D56" i="22"/>
  <c r="F56" i="22"/>
  <c r="H56" i="22"/>
  <c r="G56" i="22"/>
  <c r="D56" i="26"/>
  <c r="F56" i="26"/>
  <c r="H56" i="26"/>
  <c r="G56" i="26"/>
  <c r="K56" i="26" s="1"/>
  <c r="F59" i="13"/>
  <c r="G59" i="13"/>
  <c r="K59" i="13" s="1"/>
  <c r="H59" i="13"/>
  <c r="I59" i="13"/>
  <c r="D59" i="13"/>
  <c r="J46" i="20"/>
  <c r="J46" i="9"/>
  <c r="J46" i="25"/>
  <c r="J46" i="21"/>
  <c r="J46" i="17"/>
  <c r="K6" i="14"/>
  <c r="K6" i="19"/>
  <c r="K6" i="15"/>
  <c r="K6" i="16"/>
  <c r="K6" i="8"/>
  <c r="K6" i="10"/>
  <c r="K6" i="13"/>
  <c r="K6" i="22"/>
  <c r="K6" i="24"/>
  <c r="K6" i="26"/>
  <c r="K6" i="18"/>
  <c r="K6" i="7"/>
  <c r="K6" i="11"/>
  <c r="K6" i="23"/>
  <c r="K6" i="20"/>
  <c r="K6" i="17"/>
  <c r="K6" i="21"/>
  <c r="K6" i="9"/>
  <c r="K6" i="25"/>
  <c r="K56" i="25"/>
  <c r="K48" i="15"/>
  <c r="K48" i="16"/>
  <c r="K48" i="8"/>
  <c r="K48" i="10"/>
  <c r="K48" i="26"/>
  <c r="K48" i="20"/>
  <c r="K48" i="21"/>
  <c r="K48" i="7"/>
  <c r="L63" i="12"/>
  <c r="L63" i="5"/>
  <c r="L63" i="20"/>
  <c r="L63" i="18"/>
  <c r="L63" i="17"/>
  <c r="L63" i="7"/>
  <c r="L63" i="9"/>
  <c r="L63" i="11"/>
  <c r="L63" i="21"/>
  <c r="L63" i="23"/>
  <c r="L63" i="25"/>
  <c r="L63" i="14"/>
  <c r="L63" i="15"/>
  <c r="L63" i="8"/>
  <c r="L63" i="13"/>
  <c r="L63" i="24"/>
  <c r="L63" i="16"/>
  <c r="L63" i="19"/>
  <c r="L63" i="10"/>
  <c r="L63" i="26"/>
  <c r="L63" i="22"/>
  <c r="L46" i="20"/>
  <c r="L46" i="18"/>
  <c r="L46" i="17"/>
  <c r="L46" i="7"/>
  <c r="L46" i="9"/>
  <c r="L46" i="11"/>
  <c r="L46" i="21"/>
  <c r="L46" i="23"/>
  <c r="L46" i="25"/>
  <c r="L46" i="19"/>
  <c r="L46" i="16"/>
  <c r="L46" i="10"/>
  <c r="L46" i="22"/>
  <c r="L46" i="26"/>
  <c r="L46" i="15"/>
  <c r="L46" i="13"/>
  <c r="L46" i="14"/>
  <c r="L46" i="8"/>
  <c r="L46" i="24"/>
  <c r="K34" i="5"/>
  <c r="K34" i="12"/>
  <c r="K34" i="14"/>
  <c r="K34" i="19"/>
  <c r="K34" i="15"/>
  <c r="K34" i="16"/>
  <c r="K34" i="8"/>
  <c r="K34" i="10"/>
  <c r="K34" i="13"/>
  <c r="K34" i="22"/>
  <c r="K34" i="24"/>
  <c r="K34" i="26"/>
  <c r="K34" i="18"/>
  <c r="K34" i="7"/>
  <c r="K34" i="11"/>
  <c r="K34" i="23"/>
  <c r="K34" i="17"/>
  <c r="K34" i="20"/>
  <c r="K34" i="9"/>
  <c r="K34" i="25"/>
  <c r="K34" i="21"/>
  <c r="L13" i="5"/>
  <c r="L13" i="20"/>
  <c r="L13" i="18"/>
  <c r="L13" i="17"/>
  <c r="L13" i="7"/>
  <c r="L13" i="9"/>
  <c r="L13" i="11"/>
  <c r="L13" i="21"/>
  <c r="L13" i="23"/>
  <c r="L13" i="25"/>
  <c r="L13" i="14"/>
  <c r="L13" i="15"/>
  <c r="L13" i="8"/>
  <c r="L13" i="13"/>
  <c r="L13" i="24"/>
  <c r="L13" i="16"/>
  <c r="L13" i="12"/>
  <c r="L13" i="19"/>
  <c r="L13" i="10"/>
  <c r="L13" i="26"/>
  <c r="L13" i="22"/>
  <c r="J13" i="20"/>
  <c r="J13" i="18"/>
  <c r="J13" i="17"/>
  <c r="J13" i="7"/>
  <c r="J13" i="9"/>
  <c r="J13" i="11"/>
  <c r="J13" i="21"/>
  <c r="J13" i="23"/>
  <c r="J13" i="25"/>
  <c r="J13" i="5"/>
  <c r="J13" i="19"/>
  <c r="J13" i="16"/>
  <c r="J13" i="10"/>
  <c r="J13" i="22"/>
  <c r="J13" i="26"/>
  <c r="J13" i="15"/>
  <c r="J13" i="14"/>
  <c r="J13" i="8"/>
  <c r="J13" i="24"/>
  <c r="J13" i="12"/>
  <c r="J13" i="13"/>
  <c r="J6" i="14"/>
  <c r="J6" i="19"/>
  <c r="J6" i="15"/>
  <c r="J6" i="16"/>
  <c r="J6" i="8"/>
  <c r="J6" i="10"/>
  <c r="J6" i="13"/>
  <c r="J6" i="22"/>
  <c r="J6" i="24"/>
  <c r="J6" i="26"/>
  <c r="J6" i="18"/>
  <c r="J6" i="7"/>
  <c r="J6" i="11"/>
  <c r="J6" i="23"/>
  <c r="J6" i="20"/>
  <c r="J6" i="25"/>
  <c r="J6" i="17"/>
  <c r="J6" i="21"/>
  <c r="J6" i="9"/>
  <c r="J8" i="14"/>
  <c r="J8" i="19"/>
  <c r="J8" i="15"/>
  <c r="J8" i="16"/>
  <c r="J8" i="8"/>
  <c r="J8" i="10"/>
  <c r="J8" i="13"/>
  <c r="J8" i="22"/>
  <c r="J8" i="24"/>
  <c r="J8" i="26"/>
  <c r="J8" i="20"/>
  <c r="J8" i="17"/>
  <c r="J8" i="9"/>
  <c r="J8" i="21"/>
  <c r="J8" i="25"/>
  <c r="J8" i="11"/>
  <c r="J8" i="7"/>
  <c r="J8" i="23"/>
  <c r="J8" i="18"/>
  <c r="L42" i="12"/>
  <c r="L42" i="20"/>
  <c r="L42" i="18"/>
  <c r="L42" i="17"/>
  <c r="L42" i="7"/>
  <c r="L42" i="9"/>
  <c r="L42" i="11"/>
  <c r="L42" i="21"/>
  <c r="L42" i="23"/>
  <c r="L42" i="25"/>
  <c r="L42" i="5"/>
  <c r="L42" i="19"/>
  <c r="L42" i="16"/>
  <c r="L42" i="10"/>
  <c r="L42" i="22"/>
  <c r="L42" i="26"/>
  <c r="L42" i="13"/>
  <c r="L42" i="14"/>
  <c r="L42" i="8"/>
  <c r="L42" i="24"/>
  <c r="L42" i="15"/>
  <c r="L40" i="12"/>
  <c r="L40" i="5"/>
  <c r="L40" i="20"/>
  <c r="L40" i="18"/>
  <c r="L40" i="17"/>
  <c r="L40" i="7"/>
  <c r="L40" i="9"/>
  <c r="L40" i="11"/>
  <c r="L40" i="21"/>
  <c r="L40" i="23"/>
  <c r="L40" i="25"/>
  <c r="L40" i="14"/>
  <c r="L40" i="15"/>
  <c r="L40" i="8"/>
  <c r="L40" i="13"/>
  <c r="L40" i="24"/>
  <c r="L40" i="10"/>
  <c r="L40" i="16"/>
  <c r="L40" i="22"/>
  <c r="L40" i="19"/>
  <c r="L40" i="26"/>
  <c r="L38" i="12"/>
  <c r="L38" i="5"/>
  <c r="L38" i="20"/>
  <c r="L38" i="18"/>
  <c r="L38" i="17"/>
  <c r="L38" i="7"/>
  <c r="L38" i="9"/>
  <c r="L38" i="11"/>
  <c r="L38" i="21"/>
  <c r="L38" i="23"/>
  <c r="L38" i="25"/>
  <c r="L38" i="19"/>
  <c r="L38" i="16"/>
  <c r="L38" i="10"/>
  <c r="L38" i="22"/>
  <c r="L38" i="26"/>
  <c r="L38" i="14"/>
  <c r="L38" i="24"/>
  <c r="L38" i="15"/>
  <c r="L38" i="13"/>
  <c r="L38" i="8"/>
  <c r="L28" i="12"/>
  <c r="L28" i="5"/>
  <c r="L28" i="20"/>
  <c r="L28" i="18"/>
  <c r="L28" i="17"/>
  <c r="L28" i="7"/>
  <c r="L28" i="9"/>
  <c r="L28" i="11"/>
  <c r="L28" i="21"/>
  <c r="L28" i="23"/>
  <c r="L28" i="25"/>
  <c r="L28" i="19"/>
  <c r="L28" i="16"/>
  <c r="L28" i="10"/>
  <c r="L28" i="22"/>
  <c r="L28" i="26"/>
  <c r="L28" i="15"/>
  <c r="L28" i="14"/>
  <c r="L28" i="8"/>
  <c r="L28" i="24"/>
  <c r="L28" i="13"/>
  <c r="L26" i="12"/>
  <c r="L26" i="5"/>
  <c r="L26" i="20"/>
  <c r="L26" i="18"/>
  <c r="L26" i="17"/>
  <c r="L26" i="7"/>
  <c r="L26" i="9"/>
  <c r="L26" i="11"/>
  <c r="L26" i="21"/>
  <c r="L26" i="23"/>
  <c r="L26" i="25"/>
  <c r="L26" i="14"/>
  <c r="L26" i="15"/>
  <c r="L26" i="8"/>
  <c r="L26" i="13"/>
  <c r="L26" i="24"/>
  <c r="L26" i="19"/>
  <c r="L26" i="26"/>
  <c r="L26" i="16"/>
  <c r="L26" i="22"/>
  <c r="L26" i="10"/>
  <c r="L22" i="12"/>
  <c r="L22" i="5"/>
  <c r="L22" i="20"/>
  <c r="L22" i="18"/>
  <c r="L22" i="17"/>
  <c r="L22" i="7"/>
  <c r="L22" i="9"/>
  <c r="L22" i="11"/>
  <c r="L22" i="21"/>
  <c r="L22" i="23"/>
  <c r="L22" i="25"/>
  <c r="L22" i="19"/>
  <c r="L22" i="16"/>
  <c r="L22" i="10"/>
  <c r="L22" i="22"/>
  <c r="L22" i="26"/>
  <c r="L22" i="14"/>
  <c r="L22" i="15"/>
  <c r="L22" i="13"/>
  <c r="L22" i="8"/>
  <c r="L22" i="24"/>
  <c r="L20" i="12"/>
  <c r="L20" i="5"/>
  <c r="L20" i="20"/>
  <c r="L20" i="18"/>
  <c r="L20" i="17"/>
  <c r="L20" i="7"/>
  <c r="L20" i="9"/>
  <c r="L20" i="11"/>
  <c r="L20" i="21"/>
  <c r="L20" i="23"/>
  <c r="L20" i="25"/>
  <c r="L20" i="14"/>
  <c r="L20" i="15"/>
  <c r="L20" i="8"/>
  <c r="L20" i="13"/>
  <c r="L20" i="24"/>
  <c r="L20" i="16"/>
  <c r="L20" i="19"/>
  <c r="L20" i="10"/>
  <c r="L20" i="26"/>
  <c r="L20" i="22"/>
  <c r="L18" i="12"/>
  <c r="L18" i="20"/>
  <c r="L18" i="18"/>
  <c r="L18" i="17"/>
  <c r="L18" i="7"/>
  <c r="L18" i="9"/>
  <c r="L18" i="11"/>
  <c r="L18" i="21"/>
  <c r="L18" i="23"/>
  <c r="L18" i="25"/>
  <c r="L18" i="19"/>
  <c r="L18" i="16"/>
  <c r="L18" i="10"/>
  <c r="L18" i="22"/>
  <c r="L18" i="26"/>
  <c r="L18" i="13"/>
  <c r="L18" i="5"/>
  <c r="L18" i="14"/>
  <c r="L18" i="8"/>
  <c r="L18" i="24"/>
  <c r="L18" i="15"/>
  <c r="L16" i="12"/>
  <c r="L16" i="5"/>
  <c r="L16" i="20"/>
  <c r="L16" i="18"/>
  <c r="L16" i="17"/>
  <c r="L16" i="7"/>
  <c r="L16" i="9"/>
  <c r="L16" i="11"/>
  <c r="L16" i="21"/>
  <c r="L16" i="23"/>
  <c r="L16" i="25"/>
  <c r="L16" i="14"/>
  <c r="L16" i="15"/>
  <c r="L16" i="8"/>
  <c r="L16" i="13"/>
  <c r="L16" i="24"/>
  <c r="L16" i="10"/>
  <c r="L16" i="16"/>
  <c r="L16" i="22"/>
  <c r="L16" i="19"/>
  <c r="L16" i="26"/>
  <c r="K64" i="12"/>
  <c r="K64" i="5"/>
  <c r="K64" i="15"/>
  <c r="K64" i="16"/>
  <c r="K64" i="8"/>
  <c r="K64" i="10"/>
  <c r="K64" i="13"/>
  <c r="K64" i="22"/>
  <c r="K64" i="24"/>
  <c r="K64" i="26"/>
  <c r="K64" i="18"/>
  <c r="K64" i="7"/>
  <c r="K64" i="11"/>
  <c r="K64" i="23"/>
  <c r="K64" i="17"/>
  <c r="K64" i="9"/>
  <c r="K64" i="25"/>
  <c r="K64" i="21"/>
  <c r="K41" i="12"/>
  <c r="K41" i="5"/>
  <c r="K41" i="14"/>
  <c r="K41" i="19"/>
  <c r="K41" i="15"/>
  <c r="K41" i="16"/>
  <c r="K41" i="8"/>
  <c r="K41" i="10"/>
  <c r="K41" i="13"/>
  <c r="K41" i="22"/>
  <c r="K41" i="24"/>
  <c r="K41" i="26"/>
  <c r="K41" i="20"/>
  <c r="K41" i="17"/>
  <c r="K41" i="9"/>
  <c r="K41" i="21"/>
  <c r="K41" i="25"/>
  <c r="K41" i="18"/>
  <c r="K41" i="7"/>
  <c r="K41" i="23"/>
  <c r="K41" i="11"/>
  <c r="K39" i="12"/>
  <c r="K39" i="14"/>
  <c r="K39" i="19"/>
  <c r="K39" i="15"/>
  <c r="K39" i="16"/>
  <c r="K39" i="8"/>
  <c r="K39" i="10"/>
  <c r="K39" i="13"/>
  <c r="K39" i="22"/>
  <c r="K39" i="24"/>
  <c r="K39" i="5"/>
  <c r="K39" i="18"/>
  <c r="K39" i="7"/>
  <c r="K39" i="11"/>
  <c r="K39" i="23"/>
  <c r="K39" i="26"/>
  <c r="K39" i="17"/>
  <c r="K39" i="21"/>
  <c r="K39" i="20"/>
  <c r="K39" i="9"/>
  <c r="K39" i="25"/>
  <c r="K35" i="12"/>
  <c r="K35" i="5"/>
  <c r="K35" i="14"/>
  <c r="K35" i="19"/>
  <c r="K35" i="15"/>
  <c r="K35" i="16"/>
  <c r="K35" i="8"/>
  <c r="K35" i="10"/>
  <c r="K35" i="13"/>
  <c r="K35" i="22"/>
  <c r="K35" i="24"/>
  <c r="K35" i="26"/>
  <c r="K35" i="20"/>
  <c r="K35" i="17"/>
  <c r="K35" i="9"/>
  <c r="K35" i="21"/>
  <c r="K35" i="25"/>
  <c r="K35" i="18"/>
  <c r="K35" i="11"/>
  <c r="K35" i="7"/>
  <c r="K35" i="23"/>
  <c r="K33" i="5"/>
  <c r="K33" i="12"/>
  <c r="K33" i="14"/>
  <c r="K33" i="19"/>
  <c r="K33" i="15"/>
  <c r="K33" i="16"/>
  <c r="K33" i="8"/>
  <c r="K33" i="10"/>
  <c r="K33" i="13"/>
  <c r="K33" i="22"/>
  <c r="K33" i="24"/>
  <c r="K33" i="26"/>
  <c r="K33" i="18"/>
  <c r="K33" i="7"/>
  <c r="K33" i="11"/>
  <c r="K33" i="23"/>
  <c r="K33" i="20"/>
  <c r="K33" i="9"/>
  <c r="K33" i="25"/>
  <c r="K33" i="21"/>
  <c r="K33" i="17"/>
  <c r="K27" i="12"/>
  <c r="K27" i="5"/>
  <c r="K27" i="20"/>
  <c r="K27" i="18"/>
  <c r="K27" i="17"/>
  <c r="K27" i="7"/>
  <c r="K27" i="9"/>
  <c r="K27" i="11"/>
  <c r="K27" i="21"/>
  <c r="K27" i="23"/>
  <c r="K27" i="25"/>
  <c r="K27" i="14"/>
  <c r="K27" i="15"/>
  <c r="K27" i="8"/>
  <c r="K27" i="13"/>
  <c r="K27" i="24"/>
  <c r="K27" i="19"/>
  <c r="K27" i="10"/>
  <c r="K27" i="26"/>
  <c r="K27" i="16"/>
  <c r="K27" i="22"/>
  <c r="K25" i="12"/>
  <c r="K25" i="20"/>
  <c r="K25" i="18"/>
  <c r="K25" i="17"/>
  <c r="K25" i="7"/>
  <c r="K25" i="9"/>
  <c r="K25" i="11"/>
  <c r="K25" i="21"/>
  <c r="K25" i="23"/>
  <c r="K25" i="25"/>
  <c r="K25" i="19"/>
  <c r="K25" i="16"/>
  <c r="K25" i="10"/>
  <c r="K25" i="22"/>
  <c r="K25" i="26"/>
  <c r="K25" i="5"/>
  <c r="K25" i="14"/>
  <c r="K25" i="8"/>
  <c r="K25" i="24"/>
  <c r="K25" i="13"/>
  <c r="K25" i="15"/>
  <c r="K21" i="12"/>
  <c r="K21" i="5"/>
  <c r="K21" i="20"/>
  <c r="K21" i="18"/>
  <c r="K21" i="17"/>
  <c r="K21" i="7"/>
  <c r="K21" i="9"/>
  <c r="K21" i="11"/>
  <c r="K21" i="21"/>
  <c r="K21" i="23"/>
  <c r="K21" i="25"/>
  <c r="K21" i="14"/>
  <c r="K21" i="15"/>
  <c r="K21" i="8"/>
  <c r="K21" i="13"/>
  <c r="K21" i="24"/>
  <c r="K21" i="16"/>
  <c r="K21" i="22"/>
  <c r="K21" i="26"/>
  <c r="K21" i="10"/>
  <c r="K21" i="19"/>
  <c r="K19" i="20"/>
  <c r="K19" i="18"/>
  <c r="K19" i="17"/>
  <c r="K19" i="7"/>
  <c r="K19" i="9"/>
  <c r="K19" i="11"/>
  <c r="K19" i="21"/>
  <c r="K19" i="23"/>
  <c r="K19" i="25"/>
  <c r="K19" i="12"/>
  <c r="K19" i="19"/>
  <c r="K19" i="16"/>
  <c r="K19" i="10"/>
  <c r="K19" i="22"/>
  <c r="K19" i="26"/>
  <c r="K19" i="15"/>
  <c r="K19" i="13"/>
  <c r="K19" i="14"/>
  <c r="K19" i="24"/>
  <c r="K19" i="8"/>
  <c r="K17" i="12"/>
  <c r="K17" i="5"/>
  <c r="K17" i="20"/>
  <c r="K17" i="18"/>
  <c r="K17" i="17"/>
  <c r="K17" i="7"/>
  <c r="K17" i="9"/>
  <c r="K17" i="11"/>
  <c r="K17" i="21"/>
  <c r="K17" i="23"/>
  <c r="K17" i="25"/>
  <c r="K17" i="14"/>
  <c r="K17" i="15"/>
  <c r="K17" i="8"/>
  <c r="K17" i="13"/>
  <c r="K17" i="24"/>
  <c r="K17" i="19"/>
  <c r="K17" i="10"/>
  <c r="K17" i="26"/>
  <c r="K17" i="16"/>
  <c r="K17" i="22"/>
  <c r="K15" i="12"/>
  <c r="K15" i="20"/>
  <c r="K15" i="18"/>
  <c r="K15" i="17"/>
  <c r="K15" i="7"/>
  <c r="K15" i="9"/>
  <c r="K15" i="11"/>
  <c r="K15" i="21"/>
  <c r="K15" i="23"/>
  <c r="K15" i="25"/>
  <c r="K15" i="5"/>
  <c r="K15" i="19"/>
  <c r="K15" i="16"/>
  <c r="K15" i="10"/>
  <c r="K15" i="22"/>
  <c r="K15" i="26"/>
  <c r="K15" i="14"/>
  <c r="K15" i="8"/>
  <c r="K15" i="24"/>
  <c r="K15" i="15"/>
  <c r="K15" i="13"/>
  <c r="K9" i="12"/>
  <c r="K9" i="5"/>
  <c r="K9" i="20"/>
  <c r="K9" i="18"/>
  <c r="K9" i="17"/>
  <c r="K9" i="7"/>
  <c r="K9" i="9"/>
  <c r="K9" i="11"/>
  <c r="K9" i="21"/>
  <c r="K9" i="23"/>
  <c r="K9" i="25"/>
  <c r="K9" i="14"/>
  <c r="K9" i="15"/>
  <c r="K9" i="8"/>
  <c r="K9" i="13"/>
  <c r="K9" i="24"/>
  <c r="K9" i="16"/>
  <c r="K9" i="22"/>
  <c r="K9" i="19"/>
  <c r="K9" i="26"/>
  <c r="K9" i="10"/>
  <c r="K7" i="5"/>
  <c r="K7" i="12"/>
  <c r="K7" i="20"/>
  <c r="K7" i="18"/>
  <c r="K7" i="17"/>
  <c r="K7" i="7"/>
  <c r="K7" i="9"/>
  <c r="K7" i="11"/>
  <c r="K7" i="21"/>
  <c r="K7" i="23"/>
  <c r="K7" i="25"/>
  <c r="K7" i="19"/>
  <c r="K7" i="16"/>
  <c r="K7" i="10"/>
  <c r="K7" i="22"/>
  <c r="K7" i="26"/>
  <c r="K7" i="15"/>
  <c r="K7" i="13"/>
  <c r="K7" i="14"/>
  <c r="K7" i="8"/>
  <c r="K7" i="24"/>
  <c r="J42" i="12"/>
  <c r="J42" i="5"/>
  <c r="J42" i="14"/>
  <c r="J42" i="19"/>
  <c r="J42" i="15"/>
  <c r="J42" i="16"/>
  <c r="J42" i="8"/>
  <c r="J42" i="10"/>
  <c r="J42" i="13"/>
  <c r="J42" i="22"/>
  <c r="J42" i="24"/>
  <c r="J42" i="26"/>
  <c r="J42" i="18"/>
  <c r="J42" i="7"/>
  <c r="J42" i="11"/>
  <c r="J42" i="23"/>
  <c r="J42" i="17"/>
  <c r="J42" i="21"/>
  <c r="J42" i="20"/>
  <c r="J42" i="25"/>
  <c r="J42" i="9"/>
  <c r="J40" i="12"/>
  <c r="J40" i="14"/>
  <c r="J40" i="19"/>
  <c r="J40" i="15"/>
  <c r="J40" i="16"/>
  <c r="J40" i="8"/>
  <c r="J40" i="10"/>
  <c r="J40" i="13"/>
  <c r="J40" i="22"/>
  <c r="J40" i="24"/>
  <c r="J40" i="26"/>
  <c r="J40" i="20"/>
  <c r="J40" i="17"/>
  <c r="J40" i="9"/>
  <c r="J40" i="21"/>
  <c r="J40" i="25"/>
  <c r="J40" i="18"/>
  <c r="J40" i="11"/>
  <c r="J40" i="7"/>
  <c r="J40" i="5"/>
  <c r="J40" i="23"/>
  <c r="J38" i="12"/>
  <c r="J38" i="5"/>
  <c r="J38" i="14"/>
  <c r="J38" i="19"/>
  <c r="J38" i="15"/>
  <c r="J38" i="16"/>
  <c r="J38" i="8"/>
  <c r="J38" i="10"/>
  <c r="J38" i="13"/>
  <c r="J38" i="22"/>
  <c r="J38" i="24"/>
  <c r="J38" i="26"/>
  <c r="J38" i="18"/>
  <c r="J38" i="7"/>
  <c r="J38" i="11"/>
  <c r="J38" i="23"/>
  <c r="J38" i="20"/>
  <c r="J38" i="9"/>
  <c r="J38" i="25"/>
  <c r="J38" i="17"/>
  <c r="J38" i="21"/>
  <c r="J28" i="12"/>
  <c r="J28" i="5"/>
  <c r="J28" i="14"/>
  <c r="J28" i="19"/>
  <c r="J28" i="15"/>
  <c r="J28" i="16"/>
  <c r="J28" i="8"/>
  <c r="J28" i="10"/>
  <c r="J28" i="13"/>
  <c r="J28" i="22"/>
  <c r="J28" i="24"/>
  <c r="J28" i="26"/>
  <c r="J28" i="18"/>
  <c r="J28" i="7"/>
  <c r="J28" i="11"/>
  <c r="J28" i="23"/>
  <c r="J28" i="17"/>
  <c r="J28" i="21"/>
  <c r="J28" i="20"/>
  <c r="J28" i="25"/>
  <c r="J28" i="9"/>
  <c r="J26" i="12"/>
  <c r="J26" i="14"/>
  <c r="J26" i="19"/>
  <c r="J26" i="15"/>
  <c r="J26" i="16"/>
  <c r="J26" i="8"/>
  <c r="J26" i="10"/>
  <c r="J26" i="13"/>
  <c r="J26" i="22"/>
  <c r="J26" i="20"/>
  <c r="J26" i="17"/>
  <c r="J26" i="9"/>
  <c r="J26" i="21"/>
  <c r="J26" i="24"/>
  <c r="J26" i="26"/>
  <c r="J26" i="5"/>
  <c r="J26" i="18"/>
  <c r="J26" i="11"/>
  <c r="J26" i="25"/>
  <c r="J26" i="7"/>
  <c r="J26" i="23"/>
  <c r="J22" i="12"/>
  <c r="J22" i="5"/>
  <c r="J22" i="20"/>
  <c r="J22" i="18"/>
  <c r="J22" i="17"/>
  <c r="J22" i="7"/>
  <c r="J22" i="9"/>
  <c r="J22" i="11"/>
  <c r="J22" i="21"/>
  <c r="J22" i="23"/>
  <c r="J22" i="25"/>
  <c r="J22" i="14"/>
  <c r="J22" i="15"/>
  <c r="J22" i="8"/>
  <c r="J22" i="13"/>
  <c r="J22" i="24"/>
  <c r="J22" i="19"/>
  <c r="J22" i="10"/>
  <c r="J22" i="26"/>
  <c r="J22" i="22"/>
  <c r="J22" i="16"/>
  <c r="J20" i="12"/>
  <c r="J20" i="20"/>
  <c r="J20" i="18"/>
  <c r="J20" i="17"/>
  <c r="J20" i="7"/>
  <c r="J20" i="9"/>
  <c r="J20" i="11"/>
  <c r="J20" i="21"/>
  <c r="J20" i="23"/>
  <c r="J20" i="25"/>
  <c r="J20" i="5"/>
  <c r="J20" i="14"/>
  <c r="J20" i="15"/>
  <c r="J20" i="8"/>
  <c r="J20" i="13"/>
  <c r="J20" i="24"/>
  <c r="J20" i="19"/>
  <c r="J20" i="10"/>
  <c r="J20" i="26"/>
  <c r="J20" i="16"/>
  <c r="J20" i="22"/>
  <c r="J18" i="12"/>
  <c r="J18" i="5"/>
  <c r="J18" i="20"/>
  <c r="J18" i="18"/>
  <c r="J18" i="17"/>
  <c r="J18" i="7"/>
  <c r="J18" i="9"/>
  <c r="J18" i="11"/>
  <c r="J18" i="21"/>
  <c r="J18" i="23"/>
  <c r="J18" i="25"/>
  <c r="J18" i="14"/>
  <c r="J18" i="15"/>
  <c r="J18" i="8"/>
  <c r="J18" i="13"/>
  <c r="J18" i="24"/>
  <c r="J18" i="19"/>
  <c r="J18" i="10"/>
  <c r="J18" i="26"/>
  <c r="J18" i="22"/>
  <c r="J18" i="16"/>
  <c r="J16" i="12"/>
  <c r="J16" i="14"/>
  <c r="J16" i="19"/>
  <c r="J16" i="15"/>
  <c r="J16" i="16"/>
  <c r="J16" i="8"/>
  <c r="J16" i="10"/>
  <c r="J16" i="13"/>
  <c r="J16" i="22"/>
  <c r="J16" i="24"/>
  <c r="J16" i="26"/>
  <c r="J16" i="18"/>
  <c r="J16" i="7"/>
  <c r="J16" i="11"/>
  <c r="J16" i="23"/>
  <c r="J16" i="20"/>
  <c r="J16" i="9"/>
  <c r="J16" i="25"/>
  <c r="J16" i="5"/>
  <c r="J16" i="17"/>
  <c r="J16" i="21"/>
  <c r="I42" i="12"/>
  <c r="I42" i="5"/>
  <c r="I42" i="20"/>
  <c r="I42" i="18"/>
  <c r="I42" i="17"/>
  <c r="I42" i="7"/>
  <c r="I42" i="9"/>
  <c r="I42" i="11"/>
  <c r="I42" i="21"/>
  <c r="I42" i="23"/>
  <c r="I42" i="25"/>
  <c r="I42" i="19"/>
  <c r="I42" i="16"/>
  <c r="I42" i="10"/>
  <c r="I42" i="22"/>
  <c r="I42" i="26"/>
  <c r="I42" i="14"/>
  <c r="I42" i="8"/>
  <c r="I42" i="24"/>
  <c r="I42" i="13"/>
  <c r="I42" i="15"/>
  <c r="I40" i="12"/>
  <c r="I40" i="20"/>
  <c r="I40" i="18"/>
  <c r="I40" i="17"/>
  <c r="I40" i="7"/>
  <c r="I40" i="9"/>
  <c r="I40" i="11"/>
  <c r="I40" i="21"/>
  <c r="I40" i="23"/>
  <c r="I40" i="25"/>
  <c r="I40" i="5"/>
  <c r="I40" i="14"/>
  <c r="I40" i="15"/>
  <c r="I40" i="8"/>
  <c r="I40" i="13"/>
  <c r="I40" i="24"/>
  <c r="I40" i="16"/>
  <c r="I40" i="22"/>
  <c r="I40" i="19"/>
  <c r="I40" i="26"/>
  <c r="I40" i="10"/>
  <c r="I38" i="12"/>
  <c r="I38" i="5"/>
  <c r="I38" i="20"/>
  <c r="I38" i="18"/>
  <c r="I38" i="17"/>
  <c r="I38" i="7"/>
  <c r="I38" i="9"/>
  <c r="I38" i="11"/>
  <c r="I38" i="21"/>
  <c r="I38" i="23"/>
  <c r="I38" i="25"/>
  <c r="I38" i="19"/>
  <c r="I38" i="16"/>
  <c r="I38" i="10"/>
  <c r="I38" i="22"/>
  <c r="I38" i="26"/>
  <c r="I38" i="15"/>
  <c r="I38" i="13"/>
  <c r="I38" i="8"/>
  <c r="I38" i="24"/>
  <c r="I38" i="14"/>
  <c r="E54" i="15"/>
  <c r="M54" i="15" s="1"/>
  <c r="D54" i="13"/>
  <c r="I54" i="13"/>
  <c r="G54" i="13"/>
  <c r="K54" i="13" s="1"/>
  <c r="F54" i="13"/>
  <c r="H54" i="13"/>
  <c r="L54" i="13" s="1"/>
  <c r="F55" i="20"/>
  <c r="D55" i="20"/>
  <c r="G55" i="20"/>
  <c r="K55" i="20" s="1"/>
  <c r="H55" i="20"/>
  <c r="L55" i="20" s="1"/>
  <c r="G55" i="25"/>
  <c r="H55" i="25"/>
  <c r="D59" i="20"/>
  <c r="G59" i="20"/>
  <c r="H59" i="20"/>
  <c r="F59" i="20"/>
  <c r="J59" i="20" s="1"/>
  <c r="I59" i="20"/>
  <c r="D64" i="13"/>
  <c r="D65" i="13" s="1"/>
  <c r="E65" i="13"/>
  <c r="F59" i="14"/>
  <c r="H59" i="14"/>
  <c r="I59" i="14"/>
  <c r="D59" i="14"/>
  <c r="G59" i="14"/>
  <c r="D63" i="14"/>
  <c r="E65" i="8"/>
  <c r="D63" i="8"/>
  <c r="D65" i="8" s="1"/>
  <c r="D63" i="22"/>
  <c r="D65" i="22" s="1"/>
  <c r="E65" i="22"/>
  <c r="D60" i="17"/>
  <c r="I60" i="17"/>
  <c r="D56" i="8"/>
  <c r="G56" i="8"/>
  <c r="H56" i="8"/>
  <c r="L56" i="8" s="1"/>
  <c r="F56" i="8"/>
  <c r="BH25" i="27"/>
  <c r="BH26" i="27"/>
  <c r="BI25" i="27"/>
  <c r="BI26" i="27"/>
  <c r="BJ26" i="27"/>
  <c r="BK26" i="27"/>
  <c r="BJ25" i="27"/>
  <c r="BK25" i="27"/>
  <c r="BI38" i="27"/>
  <c r="BH38" i="27"/>
  <c r="BK38" i="27"/>
  <c r="BJ38" i="27"/>
  <c r="F57" i="5"/>
  <c r="N57" i="5" s="1"/>
  <c r="G57" i="5"/>
  <c r="D57" i="5"/>
  <c r="H57" i="5"/>
  <c r="X24" i="27"/>
  <c r="D55" i="13"/>
  <c r="G55" i="13"/>
  <c r="H55" i="13"/>
  <c r="F55" i="13"/>
  <c r="H47" i="20"/>
  <c r="P47" i="20" s="1"/>
  <c r="E47" i="20"/>
  <c r="X36" i="27"/>
  <c r="X26" i="27"/>
  <c r="X25" i="27"/>
  <c r="H65" i="16"/>
  <c r="G38" i="29"/>
  <c r="E63" i="29"/>
  <c r="D63" i="29" s="1"/>
  <c r="C140" i="11"/>
  <c r="C140" i="12"/>
  <c r="F65" i="8"/>
  <c r="F65" i="13"/>
  <c r="G40" i="29"/>
  <c r="G42" i="29"/>
  <c r="F65" i="15"/>
  <c r="F65" i="16"/>
  <c r="F65" i="22"/>
  <c r="H65" i="15"/>
  <c r="H65" i="8"/>
  <c r="H40" i="29"/>
  <c r="H31" i="29"/>
  <c r="F65" i="23"/>
  <c r="F65" i="21"/>
  <c r="F65" i="11"/>
  <c r="F65" i="9"/>
  <c r="F65" i="7"/>
  <c r="F65" i="17"/>
  <c r="F65" i="18"/>
  <c r="J60" i="5"/>
  <c r="F9" i="12"/>
  <c r="G9" i="12"/>
  <c r="H9" i="12"/>
  <c r="D46" i="19"/>
  <c r="D49" i="19" s="1"/>
  <c r="H46" i="19"/>
  <c r="F46" i="19"/>
  <c r="G46" i="19"/>
  <c r="D46" i="16"/>
  <c r="D49" i="16" s="1"/>
  <c r="H46" i="16"/>
  <c r="F46" i="16"/>
  <c r="G46" i="16"/>
  <c r="F46" i="13"/>
  <c r="G46" i="13"/>
  <c r="D46" i="13"/>
  <c r="D49" i="13" s="1"/>
  <c r="H46" i="13"/>
  <c r="D46" i="20"/>
  <c r="D49" i="20" s="1"/>
  <c r="F46" i="20"/>
  <c r="G46" i="20"/>
  <c r="H46" i="20"/>
  <c r="D46" i="18"/>
  <c r="D49" i="18" s="1"/>
  <c r="G46" i="18"/>
  <c r="H46" i="18"/>
  <c r="F46" i="18"/>
  <c r="D46" i="17"/>
  <c r="D49" i="17" s="1"/>
  <c r="G46" i="17"/>
  <c r="H46" i="17"/>
  <c r="F46" i="17"/>
  <c r="D46" i="7"/>
  <c r="D49" i="7" s="1"/>
  <c r="G46" i="7"/>
  <c r="H46" i="7"/>
  <c r="F46" i="7"/>
  <c r="D46" i="9"/>
  <c r="D49" i="9" s="1"/>
  <c r="F46" i="9"/>
  <c r="G46" i="9"/>
  <c r="H46" i="9"/>
  <c r="G46" i="5"/>
  <c r="F46" i="5"/>
  <c r="D46" i="5"/>
  <c r="H46" i="5"/>
  <c r="F46" i="14"/>
  <c r="G46" i="14"/>
  <c r="D46" i="14"/>
  <c r="D49" i="14" s="1"/>
  <c r="H46" i="14"/>
  <c r="F46" i="26"/>
  <c r="H46" i="26"/>
  <c r="G46" i="26"/>
  <c r="D46" i="26"/>
  <c r="D49" i="26" s="1"/>
  <c r="F6" i="20"/>
  <c r="C52" i="16"/>
  <c r="C53" i="5"/>
  <c r="G43" i="29"/>
  <c r="F22" i="14"/>
  <c r="N22" i="14" s="1"/>
  <c r="G22" i="14"/>
  <c r="O22" i="14" s="1"/>
  <c r="D22" i="14"/>
  <c r="H22" i="14"/>
  <c r="P22" i="14" s="1"/>
  <c r="E56" i="5"/>
  <c r="E55" i="12"/>
  <c r="I55" i="12" s="1"/>
  <c r="G100" i="11"/>
  <c r="G104" i="11" s="1"/>
  <c r="C53" i="11" s="1"/>
  <c r="E53" i="11" s="1"/>
  <c r="E104" i="11"/>
  <c r="E121" i="11" s="1"/>
  <c r="G100" i="21"/>
  <c r="G100" i="22"/>
  <c r="G104" i="22" s="1"/>
  <c r="C53" i="22" s="1"/>
  <c r="E53" i="22" s="1"/>
  <c r="E104" i="22"/>
  <c r="E121" i="22" s="1"/>
  <c r="C57" i="19"/>
  <c r="E57" i="19" s="1"/>
  <c r="I57" i="19" s="1"/>
  <c r="C57" i="16"/>
  <c r="E57" i="16" s="1"/>
  <c r="D64" i="9"/>
  <c r="D65" i="9" s="1"/>
  <c r="E65" i="9"/>
  <c r="G65" i="5"/>
  <c r="J23" i="12"/>
  <c r="D25" i="12"/>
  <c r="E28" i="29"/>
  <c r="D28" i="29" s="1"/>
  <c r="D46" i="15"/>
  <c r="D49" i="15" s="1"/>
  <c r="F46" i="15"/>
  <c r="H46" i="15"/>
  <c r="G46" i="15"/>
  <c r="E49" i="29"/>
  <c r="D46" i="8"/>
  <c r="D49" i="8" s="1"/>
  <c r="H46" i="8"/>
  <c r="G46" i="8"/>
  <c r="F46" i="8"/>
  <c r="D46" i="10"/>
  <c r="D49" i="10" s="1"/>
  <c r="F46" i="10"/>
  <c r="G46" i="10"/>
  <c r="H46" i="10"/>
  <c r="D46" i="11"/>
  <c r="D49" i="11" s="1"/>
  <c r="F46" i="11"/>
  <c r="G46" i="11"/>
  <c r="H46" i="11"/>
  <c r="D46" i="21"/>
  <c r="D49" i="21" s="1"/>
  <c r="F46" i="21"/>
  <c r="G46" i="21"/>
  <c r="H46" i="21"/>
  <c r="D46" i="22"/>
  <c r="D49" i="22" s="1"/>
  <c r="F46" i="22"/>
  <c r="G46" i="22"/>
  <c r="H46" i="22"/>
  <c r="D46" i="23"/>
  <c r="D49" i="23" s="1"/>
  <c r="F46" i="23"/>
  <c r="G46" i="23"/>
  <c r="H46" i="23"/>
  <c r="H46" i="24"/>
  <c r="G46" i="24"/>
  <c r="D46" i="24"/>
  <c r="D49" i="24" s="1"/>
  <c r="F46" i="24"/>
  <c r="G46" i="25"/>
  <c r="H46" i="25"/>
  <c r="D46" i="25"/>
  <c r="D49" i="25" s="1"/>
  <c r="F46" i="25"/>
  <c r="E100" i="14"/>
  <c r="D104" i="14"/>
  <c r="G100" i="20"/>
  <c r="G104" i="20" s="1"/>
  <c r="C53" i="20" s="1"/>
  <c r="E53" i="20" s="1"/>
  <c r="E104" i="20"/>
  <c r="G100" i="19"/>
  <c r="G104" i="19" s="1"/>
  <c r="C53" i="19" s="1"/>
  <c r="E53" i="19" s="1"/>
  <c r="E104" i="19"/>
  <c r="E121" i="19" s="1"/>
  <c r="E100" i="8"/>
  <c r="D104" i="8"/>
  <c r="D121" i="8" s="1"/>
  <c r="E100" i="9"/>
  <c r="D104" i="9"/>
  <c r="E100" i="10"/>
  <c r="D104" i="10"/>
  <c r="E100" i="13"/>
  <c r="D104" i="13"/>
  <c r="C57" i="8"/>
  <c r="E57" i="8" s="1"/>
  <c r="C57" i="22"/>
  <c r="E57" i="22" s="1"/>
  <c r="I57" i="22" s="1"/>
  <c r="C52" i="10"/>
  <c r="C52" i="13"/>
  <c r="E58" i="20"/>
  <c r="M58" i="20" s="1"/>
  <c r="D58" i="9"/>
  <c r="F58" i="9"/>
  <c r="G58" i="9"/>
  <c r="H58" i="9"/>
  <c r="I58" i="9"/>
  <c r="D58" i="25"/>
  <c r="F58" i="25"/>
  <c r="J58" i="25" s="1"/>
  <c r="G58" i="25"/>
  <c r="H58" i="25"/>
  <c r="L58" i="25" s="1"/>
  <c r="I58" i="25"/>
  <c r="D59" i="7"/>
  <c r="H59" i="7"/>
  <c r="F59" i="7"/>
  <c r="J59" i="7" s="1"/>
  <c r="G59" i="7"/>
  <c r="I59" i="7"/>
  <c r="H59" i="23"/>
  <c r="D59" i="23"/>
  <c r="F59" i="23"/>
  <c r="G59" i="23"/>
  <c r="I59" i="23"/>
  <c r="D64" i="26"/>
  <c r="D65" i="26" s="1"/>
  <c r="E65" i="26"/>
  <c r="C29" i="17"/>
  <c r="D12" i="49" s="1"/>
  <c r="E85" i="49" s="1"/>
  <c r="E13" i="21"/>
  <c r="D13" i="21" s="1"/>
  <c r="G6" i="20"/>
  <c r="C121" i="8"/>
  <c r="E59" i="5"/>
  <c r="M59" i="5" s="1"/>
  <c r="H43" i="29"/>
  <c r="D40" i="12"/>
  <c r="E43" i="29"/>
  <c r="E32" i="34"/>
  <c r="G100" i="17"/>
  <c r="G104" i="17" s="1"/>
  <c r="C53" i="17" s="1"/>
  <c r="E53" i="17" s="1"/>
  <c r="E104" i="17"/>
  <c r="G100" i="16"/>
  <c r="G104" i="16" s="1"/>
  <c r="C53" i="16" s="1"/>
  <c r="E53" i="16" s="1"/>
  <c r="E104" i="16"/>
  <c r="E121" i="16" s="1"/>
  <c r="C57" i="15"/>
  <c r="E57" i="15" s="1"/>
  <c r="F7" i="11"/>
  <c r="H7" i="11"/>
  <c r="H11" i="11" s="1"/>
  <c r="G7" i="11"/>
  <c r="D64" i="24"/>
  <c r="E65" i="24"/>
  <c r="H65" i="5"/>
  <c r="L23" i="12"/>
  <c r="G57" i="26"/>
  <c r="D57" i="26"/>
  <c r="F57" i="26"/>
  <c r="H57" i="26"/>
  <c r="D58" i="21"/>
  <c r="F58" i="21"/>
  <c r="J58" i="21" s="1"/>
  <c r="G58" i="21"/>
  <c r="H58" i="21"/>
  <c r="I58" i="21"/>
  <c r="D59" i="18"/>
  <c r="H59" i="18"/>
  <c r="F59" i="18"/>
  <c r="J59" i="18" s="1"/>
  <c r="G59" i="18"/>
  <c r="K59" i="18" s="1"/>
  <c r="I59" i="18"/>
  <c r="H59" i="11"/>
  <c r="D59" i="11"/>
  <c r="F59" i="11"/>
  <c r="G59" i="11"/>
  <c r="I59" i="11"/>
  <c r="D64" i="10"/>
  <c r="D65" i="10" s="1"/>
  <c r="E65" i="10"/>
  <c r="F8" i="23"/>
  <c r="H8" i="23"/>
  <c r="G8" i="23"/>
  <c r="H7" i="12"/>
  <c r="F7" i="12"/>
  <c r="G7" i="12"/>
  <c r="F7" i="10"/>
  <c r="H7" i="10"/>
  <c r="G7" i="10"/>
  <c r="G7" i="17"/>
  <c r="F7" i="17"/>
  <c r="H7" i="17"/>
  <c r="G7" i="21"/>
  <c r="F7" i="21"/>
  <c r="H7" i="21"/>
  <c r="F7" i="24"/>
  <c r="H7" i="24"/>
  <c r="G7" i="24"/>
  <c r="H6" i="12"/>
  <c r="F6" i="12"/>
  <c r="G6" i="12"/>
  <c r="F6" i="25"/>
  <c r="H6" i="25"/>
  <c r="F6" i="9"/>
  <c r="H6" i="9"/>
  <c r="H6" i="5"/>
  <c r="F6" i="5"/>
  <c r="G6" i="5"/>
  <c r="B5" i="34"/>
  <c r="G6" i="14"/>
  <c r="F6" i="14"/>
  <c r="H6" i="14"/>
  <c r="E11" i="26"/>
  <c r="B51" i="34" s="1"/>
  <c r="G6" i="26"/>
  <c r="F6" i="26"/>
  <c r="H6" i="26"/>
  <c r="E9" i="29"/>
  <c r="E11" i="12"/>
  <c r="C16" i="29"/>
  <c r="C29" i="14"/>
  <c r="D7" i="49" s="1"/>
  <c r="E80" i="49" s="1"/>
  <c r="E13" i="14"/>
  <c r="M13" i="14" s="1"/>
  <c r="D13" i="10"/>
  <c r="G13" i="10"/>
  <c r="O13" i="10" s="1"/>
  <c r="H13" i="10"/>
  <c r="P13" i="10" s="1"/>
  <c r="F13" i="10"/>
  <c r="N13" i="10" s="1"/>
  <c r="D13" i="22"/>
  <c r="G13" i="22"/>
  <c r="O13" i="22" s="1"/>
  <c r="H13" i="22"/>
  <c r="P13" i="22" s="1"/>
  <c r="F13" i="22"/>
  <c r="N13" i="22" s="1"/>
  <c r="D13" i="17"/>
  <c r="H13" i="17"/>
  <c r="P13" i="17" s="1"/>
  <c r="F13" i="17"/>
  <c r="N13" i="17" s="1"/>
  <c r="G13" i="17"/>
  <c r="O13" i="17" s="1"/>
  <c r="E29" i="17"/>
  <c r="C38" i="34" s="1"/>
  <c r="D13" i="19"/>
  <c r="G13" i="19"/>
  <c r="O13" i="19" s="1"/>
  <c r="H13" i="19"/>
  <c r="P13" i="19" s="1"/>
  <c r="F13" i="19"/>
  <c r="N13" i="19" s="1"/>
  <c r="D13" i="16"/>
  <c r="G13" i="16"/>
  <c r="O13" i="16" s="1"/>
  <c r="H13" i="16"/>
  <c r="P13" i="16" s="1"/>
  <c r="F13" i="16"/>
  <c r="N13" i="16" s="1"/>
  <c r="D13" i="7"/>
  <c r="H13" i="7"/>
  <c r="P13" i="7" s="1"/>
  <c r="F13" i="7"/>
  <c r="N13" i="7" s="1"/>
  <c r="G13" i="7"/>
  <c r="O13" i="7" s="1"/>
  <c r="D13" i="11"/>
  <c r="H13" i="11"/>
  <c r="P13" i="11" s="1"/>
  <c r="F13" i="11"/>
  <c r="N13" i="11" s="1"/>
  <c r="G13" i="11"/>
  <c r="O13" i="11" s="1"/>
  <c r="D13" i="15"/>
  <c r="G13" i="15"/>
  <c r="O13" i="15" s="1"/>
  <c r="H13" i="15"/>
  <c r="P13" i="15" s="1"/>
  <c r="F13" i="15"/>
  <c r="N13" i="15" s="1"/>
  <c r="C19" i="34"/>
  <c r="G17" i="5"/>
  <c r="F17" i="5"/>
  <c r="H17" i="5"/>
  <c r="E20" i="29"/>
  <c r="D20" i="29" s="1"/>
  <c r="D17" i="5"/>
  <c r="E11" i="5"/>
  <c r="G8" i="5"/>
  <c r="H8" i="5"/>
  <c r="F8" i="5"/>
  <c r="B4" i="34"/>
  <c r="G11" i="8" l="1"/>
  <c r="G47" i="5"/>
  <c r="K47" i="5" s="1"/>
  <c r="J4" i="30"/>
  <c r="K4" i="30" s="1"/>
  <c r="C49" i="5"/>
  <c r="E5" i="49" s="1"/>
  <c r="F78" i="49" s="1"/>
  <c r="R11" i="49"/>
  <c r="E47" i="5"/>
  <c r="J17" i="30"/>
  <c r="J12" i="30"/>
  <c r="J24" i="30"/>
  <c r="K24" i="30" s="1"/>
  <c r="J19" i="30"/>
  <c r="K19" i="30" s="1"/>
  <c r="J29" i="30"/>
  <c r="K29" i="30" s="1"/>
  <c r="J11" i="30"/>
  <c r="K11" i="30" s="1"/>
  <c r="J21" i="30"/>
  <c r="K21" i="30" s="1"/>
  <c r="J50" i="30"/>
  <c r="K50" i="30" s="1"/>
  <c r="H22" i="30"/>
  <c r="H34" i="30"/>
  <c r="I34" i="30" s="1"/>
  <c r="I38" i="30"/>
  <c r="J38" i="30" s="1"/>
  <c r="K38" i="30" s="1"/>
  <c r="H6" i="30"/>
  <c r="I6" i="30" s="1"/>
  <c r="H23" i="30"/>
  <c r="I23" i="30" s="1"/>
  <c r="H5" i="30"/>
  <c r="I5" i="30" s="1"/>
  <c r="J5" i="30" s="1"/>
  <c r="H31" i="30"/>
  <c r="I31" i="30" s="1"/>
  <c r="I15" i="30"/>
  <c r="J15" i="30" s="1"/>
  <c r="H49" i="30"/>
  <c r="I49" i="30" s="1"/>
  <c r="J49" i="30" s="1"/>
  <c r="H7" i="30"/>
  <c r="I7" i="30" s="1"/>
  <c r="J7" i="30" s="1"/>
  <c r="K7" i="30" s="1"/>
  <c r="K14" i="30"/>
  <c r="J16" i="30"/>
  <c r="K16" i="30" s="1"/>
  <c r="H35" i="30"/>
  <c r="I35" i="30" s="1"/>
  <c r="J35" i="30" s="1"/>
  <c r="H18" i="30"/>
  <c r="I18" i="30" s="1"/>
  <c r="F22" i="5"/>
  <c r="N22" i="5" s="1"/>
  <c r="D22" i="5"/>
  <c r="H36" i="30"/>
  <c r="H32" i="30"/>
  <c r="I32" i="30" s="1"/>
  <c r="H45" i="30"/>
  <c r="I45" i="30" s="1"/>
  <c r="J13" i="30"/>
  <c r="K13" i="30" s="1"/>
  <c r="H33" i="30"/>
  <c r="H40" i="30"/>
  <c r="I40" i="30" s="1"/>
  <c r="H26" i="50"/>
  <c r="P65" i="23"/>
  <c r="H49" i="19"/>
  <c r="P55" i="7"/>
  <c r="I47" i="21"/>
  <c r="L47" i="15"/>
  <c r="L49" i="15" s="1"/>
  <c r="L47" i="18"/>
  <c r="L49" i="18" s="1"/>
  <c r="P47" i="19"/>
  <c r="P49" i="19" s="1"/>
  <c r="F49" i="23"/>
  <c r="F49" i="9"/>
  <c r="M47" i="9"/>
  <c r="J47" i="9"/>
  <c r="J49" i="9" s="1"/>
  <c r="O54" i="16"/>
  <c r="N47" i="7"/>
  <c r="K47" i="20"/>
  <c r="K49" i="20" s="1"/>
  <c r="N47" i="23"/>
  <c r="N49" i="23" s="1"/>
  <c r="O47" i="5"/>
  <c r="N58" i="7"/>
  <c r="G11" i="16"/>
  <c r="N59" i="20"/>
  <c r="O58" i="7"/>
  <c r="O48" i="18"/>
  <c r="N47" i="24"/>
  <c r="N49" i="24" s="1"/>
  <c r="N59" i="17"/>
  <c r="N54" i="9"/>
  <c r="P54" i="18"/>
  <c r="P56" i="8"/>
  <c r="D22" i="12"/>
  <c r="H22" i="5"/>
  <c r="P22" i="5" s="1"/>
  <c r="M47" i="17"/>
  <c r="M65" i="15"/>
  <c r="P47" i="9"/>
  <c r="O59" i="24"/>
  <c r="N56" i="16"/>
  <c r="P59" i="26"/>
  <c r="N56" i="7"/>
  <c r="O54" i="11"/>
  <c r="O57" i="25"/>
  <c r="O54" i="18"/>
  <c r="O55" i="21"/>
  <c r="N56" i="11"/>
  <c r="O48" i="24"/>
  <c r="N59" i="18"/>
  <c r="O55" i="10"/>
  <c r="N47" i="19"/>
  <c r="N54" i="24"/>
  <c r="I52" i="9"/>
  <c r="J47" i="26"/>
  <c r="L47" i="13"/>
  <c r="O48" i="17"/>
  <c r="O48" i="25"/>
  <c r="O47" i="24"/>
  <c r="O56" i="26"/>
  <c r="O56" i="19"/>
  <c r="O59" i="8"/>
  <c r="N48" i="25"/>
  <c r="P55" i="9"/>
  <c r="N54" i="25"/>
  <c r="P55" i="10"/>
  <c r="P55" i="16"/>
  <c r="P48" i="25"/>
  <c r="P49" i="25" s="1"/>
  <c r="N55" i="18"/>
  <c r="P59" i="21"/>
  <c r="J47" i="14"/>
  <c r="O56" i="16"/>
  <c r="G49" i="20"/>
  <c r="D52" i="9"/>
  <c r="F22" i="25"/>
  <c r="N22" i="25" s="1"/>
  <c r="H52" i="9"/>
  <c r="P52" i="9" s="1"/>
  <c r="M52" i="9"/>
  <c r="O47" i="13"/>
  <c r="N47" i="21"/>
  <c r="N55" i="15"/>
  <c r="N56" i="12"/>
  <c r="M55" i="12"/>
  <c r="O58" i="24"/>
  <c r="O58" i="15"/>
  <c r="P54" i="13"/>
  <c r="M47" i="18"/>
  <c r="P58" i="5"/>
  <c r="G52" i="9"/>
  <c r="O52" i="9" s="1"/>
  <c r="O48" i="22"/>
  <c r="O54" i="9"/>
  <c r="O57" i="18"/>
  <c r="N48" i="12"/>
  <c r="P58" i="25"/>
  <c r="P54" i="14"/>
  <c r="M48" i="22"/>
  <c r="O59" i="18"/>
  <c r="M58" i="22"/>
  <c r="E29" i="19"/>
  <c r="C35" i="34" s="1"/>
  <c r="K47" i="11"/>
  <c r="J47" i="8"/>
  <c r="M58" i="24"/>
  <c r="M53" i="7"/>
  <c r="N56" i="15"/>
  <c r="P47" i="21"/>
  <c r="P56" i="12"/>
  <c r="P48" i="11"/>
  <c r="M48" i="9"/>
  <c r="M49" i="9" s="1"/>
  <c r="N47" i="15"/>
  <c r="K15" i="33"/>
  <c r="K17" i="33"/>
  <c r="K19" i="33"/>
  <c r="L59" i="11"/>
  <c r="P59" i="11"/>
  <c r="L59" i="18"/>
  <c r="P59" i="18"/>
  <c r="K58" i="21"/>
  <c r="O58" i="21"/>
  <c r="J57" i="26"/>
  <c r="N57" i="26"/>
  <c r="I53" i="16"/>
  <c r="M53" i="16"/>
  <c r="J59" i="23"/>
  <c r="N59" i="23"/>
  <c r="K59" i="7"/>
  <c r="O59" i="7"/>
  <c r="J58" i="9"/>
  <c r="N58" i="9"/>
  <c r="I56" i="5"/>
  <c r="M56" i="5"/>
  <c r="M59" i="29" s="1"/>
  <c r="Q59" i="29" s="1"/>
  <c r="N86" i="49"/>
  <c r="O86" i="49" s="1"/>
  <c r="P86" i="49" s="1"/>
  <c r="I47" i="20"/>
  <c r="M47" i="20"/>
  <c r="L59" i="14"/>
  <c r="P59" i="14"/>
  <c r="J54" i="13"/>
  <c r="N54" i="13"/>
  <c r="K58" i="16"/>
  <c r="O58" i="16"/>
  <c r="L56" i="11"/>
  <c r="P56" i="11"/>
  <c r="L56" i="18"/>
  <c r="P56" i="18"/>
  <c r="J58" i="5"/>
  <c r="N58" i="5"/>
  <c r="K55" i="8"/>
  <c r="O55" i="8"/>
  <c r="J52" i="9"/>
  <c r="N52" i="9"/>
  <c r="K55" i="22"/>
  <c r="O55" i="22"/>
  <c r="L59" i="22"/>
  <c r="P59" i="22"/>
  <c r="J58" i="8"/>
  <c r="N58" i="8"/>
  <c r="L58" i="14"/>
  <c r="P58" i="14"/>
  <c r="L54" i="17"/>
  <c r="P54" i="17"/>
  <c r="K48" i="11"/>
  <c r="O48" i="11"/>
  <c r="O49" i="11" s="1"/>
  <c r="I48" i="20"/>
  <c r="M48" i="20"/>
  <c r="L48" i="22"/>
  <c r="P48" i="22"/>
  <c r="J55" i="23"/>
  <c r="N55" i="23"/>
  <c r="J58" i="15"/>
  <c r="N58" i="15"/>
  <c r="K56" i="21"/>
  <c r="O56" i="21"/>
  <c r="L54" i="16"/>
  <c r="P54" i="16"/>
  <c r="L59" i="19"/>
  <c r="P59" i="19"/>
  <c r="J55" i="19"/>
  <c r="N55" i="19"/>
  <c r="L59" i="17"/>
  <c r="P59" i="17"/>
  <c r="K48" i="13"/>
  <c r="K49" i="13" s="1"/>
  <c r="O48" i="13"/>
  <c r="K54" i="19"/>
  <c r="O54" i="19"/>
  <c r="L48" i="5"/>
  <c r="L49" i="5" s="1"/>
  <c r="P48" i="5"/>
  <c r="J47" i="18"/>
  <c r="J49" i="18" s="1"/>
  <c r="N47" i="18"/>
  <c r="N49" i="18" s="1"/>
  <c r="L57" i="11"/>
  <c r="P57" i="11"/>
  <c r="J55" i="25"/>
  <c r="N55" i="25"/>
  <c r="J47" i="17"/>
  <c r="N47" i="17"/>
  <c r="L47" i="17"/>
  <c r="L49" i="17" s="1"/>
  <c r="P47" i="17"/>
  <c r="K57" i="5"/>
  <c r="O57" i="5"/>
  <c r="K56" i="8"/>
  <c r="O56" i="8"/>
  <c r="K56" i="15"/>
  <c r="O56" i="15"/>
  <c r="K58" i="18"/>
  <c r="O58" i="18"/>
  <c r="J54" i="8"/>
  <c r="N54" i="8"/>
  <c r="K55" i="9"/>
  <c r="O55" i="9"/>
  <c r="K47" i="15"/>
  <c r="K49" i="15" s="1"/>
  <c r="O47" i="15"/>
  <c r="O49" i="15" s="1"/>
  <c r="I48" i="23"/>
  <c r="M48" i="23"/>
  <c r="M49" i="23" s="1"/>
  <c r="J48" i="26"/>
  <c r="N48" i="26"/>
  <c r="N49" i="26" s="1"/>
  <c r="J56" i="21"/>
  <c r="N56" i="21"/>
  <c r="K47" i="21"/>
  <c r="K49" i="21" s="1"/>
  <c r="O47" i="21"/>
  <c r="O49" i="21" s="1"/>
  <c r="L47" i="14"/>
  <c r="L49" i="14" s="1"/>
  <c r="P47" i="14"/>
  <c r="P49" i="14" s="1"/>
  <c r="O47" i="7"/>
  <c r="O49" i="7" s="1"/>
  <c r="O56" i="24"/>
  <c r="N55" i="26"/>
  <c r="L59" i="7"/>
  <c r="P59" i="7"/>
  <c r="K58" i="25"/>
  <c r="O58" i="25"/>
  <c r="L58" i="9"/>
  <c r="P58" i="9"/>
  <c r="I53" i="20"/>
  <c r="M53" i="20"/>
  <c r="I53" i="11"/>
  <c r="M53" i="11"/>
  <c r="J55" i="13"/>
  <c r="N55" i="13"/>
  <c r="L59" i="20"/>
  <c r="P59" i="20"/>
  <c r="K55" i="25"/>
  <c r="O55" i="25"/>
  <c r="J55" i="20"/>
  <c r="N55" i="20"/>
  <c r="J59" i="15"/>
  <c r="N59" i="15"/>
  <c r="J58" i="16"/>
  <c r="N58" i="16"/>
  <c r="K58" i="5"/>
  <c r="O58" i="5"/>
  <c r="L55" i="8"/>
  <c r="P55" i="8"/>
  <c r="L55" i="22"/>
  <c r="P55" i="22"/>
  <c r="K55" i="18"/>
  <c r="O55" i="18"/>
  <c r="K55" i="14"/>
  <c r="O55" i="14"/>
  <c r="K54" i="23"/>
  <c r="O54" i="23"/>
  <c r="J58" i="14"/>
  <c r="N58" i="14"/>
  <c r="G59" i="12"/>
  <c r="M59" i="12"/>
  <c r="M62" i="29" s="1"/>
  <c r="Q62" i="29" s="1"/>
  <c r="J54" i="21"/>
  <c r="N54" i="21"/>
  <c r="K54" i="7"/>
  <c r="O54" i="7"/>
  <c r="J59" i="16"/>
  <c r="N59" i="16"/>
  <c r="K54" i="14"/>
  <c r="O54" i="14"/>
  <c r="J54" i="20"/>
  <c r="N54" i="20"/>
  <c r="K47" i="9"/>
  <c r="K49" i="9" s="1"/>
  <c r="O47" i="9"/>
  <c r="L48" i="9"/>
  <c r="L49" i="9" s="1"/>
  <c r="P48" i="9"/>
  <c r="J47" i="20"/>
  <c r="N47" i="20"/>
  <c r="N49" i="20" s="1"/>
  <c r="E78" i="49"/>
  <c r="I48" i="21"/>
  <c r="M48" i="21"/>
  <c r="M49" i="21" s="1"/>
  <c r="I47" i="22"/>
  <c r="I49" i="22" s="1"/>
  <c r="M47" i="22"/>
  <c r="I47" i="7"/>
  <c r="M47" i="7"/>
  <c r="J48" i="11"/>
  <c r="J49" i="11" s="1"/>
  <c r="N48" i="11"/>
  <c r="L48" i="10"/>
  <c r="P48" i="10"/>
  <c r="K47" i="18"/>
  <c r="K49" i="18" s="1"/>
  <c r="O47" i="18"/>
  <c r="L57" i="18"/>
  <c r="P57" i="18"/>
  <c r="J54" i="26"/>
  <c r="N54" i="26"/>
  <c r="L56" i="25"/>
  <c r="P56" i="25"/>
  <c r="L57" i="25"/>
  <c r="P57" i="25"/>
  <c r="L48" i="13"/>
  <c r="P48" i="13"/>
  <c r="P49" i="13" s="1"/>
  <c r="J47" i="13"/>
  <c r="N47" i="13"/>
  <c r="L56" i="20"/>
  <c r="P56" i="20"/>
  <c r="K56" i="14"/>
  <c r="O56" i="14"/>
  <c r="J54" i="10"/>
  <c r="N54" i="10"/>
  <c r="L55" i="24"/>
  <c r="P55" i="24"/>
  <c r="J84" i="49"/>
  <c r="J99" i="49" s="1"/>
  <c r="C26" i="49"/>
  <c r="C32" i="49" s="1"/>
  <c r="I48" i="8"/>
  <c r="M48" i="8"/>
  <c r="M49" i="8" s="1"/>
  <c r="L48" i="8"/>
  <c r="P48" i="8"/>
  <c r="J48" i="21"/>
  <c r="J49" i="21" s="1"/>
  <c r="N48" i="21"/>
  <c r="N49" i="21" s="1"/>
  <c r="I47" i="11"/>
  <c r="M47" i="11"/>
  <c r="J48" i="19"/>
  <c r="J49" i="19" s="1"/>
  <c r="N48" i="19"/>
  <c r="O56" i="12"/>
  <c r="O48" i="9"/>
  <c r="O54" i="8"/>
  <c r="O54" i="25"/>
  <c r="O54" i="24"/>
  <c r="P55" i="26"/>
  <c r="P56" i="16"/>
  <c r="P56" i="17"/>
  <c r="P56" i="19"/>
  <c r="I53" i="19"/>
  <c r="M53" i="19"/>
  <c r="I57" i="16"/>
  <c r="M57" i="16"/>
  <c r="K55" i="13"/>
  <c r="O55" i="13"/>
  <c r="J59" i="24"/>
  <c r="N59" i="24"/>
  <c r="L58" i="7"/>
  <c r="P58" i="7"/>
  <c r="J58" i="19"/>
  <c r="N58" i="19"/>
  <c r="L55" i="18"/>
  <c r="P55" i="18"/>
  <c r="J55" i="14"/>
  <c r="N55" i="14"/>
  <c r="J54" i="23"/>
  <c r="N54" i="23"/>
  <c r="K54" i="21"/>
  <c r="O54" i="21"/>
  <c r="J54" i="7"/>
  <c r="N54" i="7"/>
  <c r="L54" i="11"/>
  <c r="P54" i="11"/>
  <c r="K59" i="16"/>
  <c r="O59" i="16"/>
  <c r="J54" i="14"/>
  <c r="N54" i="14"/>
  <c r="K54" i="20"/>
  <c r="O54" i="20"/>
  <c r="I48" i="19"/>
  <c r="M48" i="19"/>
  <c r="M49" i="19" s="1"/>
  <c r="I48" i="7"/>
  <c r="M48" i="7"/>
  <c r="J47" i="22"/>
  <c r="N47" i="22"/>
  <c r="L47" i="24"/>
  <c r="L49" i="24" s="1"/>
  <c r="P47" i="24"/>
  <c r="J48" i="22"/>
  <c r="N48" i="22"/>
  <c r="L54" i="10"/>
  <c r="P54" i="10"/>
  <c r="E49" i="17"/>
  <c r="D38" i="34" s="1"/>
  <c r="M48" i="17"/>
  <c r="M49" i="17" s="1"/>
  <c r="J28" i="33"/>
  <c r="J15" i="33" s="1"/>
  <c r="X16" i="27"/>
  <c r="X17" i="27"/>
  <c r="J54" i="22"/>
  <c r="N54" i="22"/>
  <c r="I48" i="16"/>
  <c r="M48" i="16"/>
  <c r="K55" i="24"/>
  <c r="O55" i="24"/>
  <c r="O56" i="9"/>
  <c r="M47" i="13"/>
  <c r="M49" i="13" s="1"/>
  <c r="O58" i="13"/>
  <c r="N48" i="10"/>
  <c r="N49" i="10" s="1"/>
  <c r="N55" i="11"/>
  <c r="X12" i="27"/>
  <c r="J59" i="13"/>
  <c r="N59" i="13"/>
  <c r="J56" i="10"/>
  <c r="N56" i="10"/>
  <c r="L59" i="9"/>
  <c r="P59" i="9"/>
  <c r="K55" i="16"/>
  <c r="O55" i="16"/>
  <c r="L47" i="16"/>
  <c r="P47" i="16"/>
  <c r="K47" i="17"/>
  <c r="K49" i="17" s="1"/>
  <c r="O47" i="17"/>
  <c r="I47" i="12"/>
  <c r="I49" i="12" s="1"/>
  <c r="M47" i="12"/>
  <c r="M49" i="12" s="1"/>
  <c r="M58" i="11"/>
  <c r="P56" i="7"/>
  <c r="O55" i="20"/>
  <c r="J59" i="11"/>
  <c r="N59" i="11"/>
  <c r="K57" i="26"/>
  <c r="O57" i="26"/>
  <c r="I57" i="15"/>
  <c r="M57" i="15"/>
  <c r="I53" i="17"/>
  <c r="M53" i="17"/>
  <c r="L59" i="23"/>
  <c r="P59" i="23"/>
  <c r="I57" i="8"/>
  <c r="M57" i="8"/>
  <c r="P57" i="5"/>
  <c r="L57" i="5"/>
  <c r="J56" i="8"/>
  <c r="N56" i="8"/>
  <c r="L28" i="33"/>
  <c r="L15" i="33" s="1"/>
  <c r="AA14" i="27" s="1"/>
  <c r="L59" i="13"/>
  <c r="P59" i="13"/>
  <c r="L56" i="26"/>
  <c r="P56" i="26"/>
  <c r="L56" i="22"/>
  <c r="P56" i="22"/>
  <c r="K56" i="10"/>
  <c r="O56" i="10"/>
  <c r="I57" i="17"/>
  <c r="M57" i="17"/>
  <c r="J56" i="13"/>
  <c r="N56" i="13"/>
  <c r="J56" i="24"/>
  <c r="N56" i="24"/>
  <c r="L56" i="15"/>
  <c r="P56" i="15"/>
  <c r="J59" i="9"/>
  <c r="N59" i="9"/>
  <c r="L59" i="25"/>
  <c r="P59" i="25"/>
  <c r="L54" i="24"/>
  <c r="P54" i="24"/>
  <c r="K55" i="17"/>
  <c r="O55" i="17"/>
  <c r="J55" i="16"/>
  <c r="N55" i="16"/>
  <c r="I47" i="26"/>
  <c r="I49" i="26" s="1"/>
  <c r="M47" i="26"/>
  <c r="K47" i="14"/>
  <c r="K49" i="14" s="1"/>
  <c r="O47" i="14"/>
  <c r="F58" i="26"/>
  <c r="M58" i="26"/>
  <c r="L47" i="11"/>
  <c r="L49" i="11" s="1"/>
  <c r="P47" i="11"/>
  <c r="L47" i="8"/>
  <c r="L49" i="8" s="1"/>
  <c r="P47" i="8"/>
  <c r="P49" i="8" s="1"/>
  <c r="J57" i="18"/>
  <c r="N57" i="18"/>
  <c r="K58" i="22"/>
  <c r="O58" i="22"/>
  <c r="J48" i="7"/>
  <c r="J49" i="7" s="1"/>
  <c r="N48" i="7"/>
  <c r="P48" i="24"/>
  <c r="O47" i="22"/>
  <c r="N55" i="17"/>
  <c r="O58" i="8"/>
  <c r="N58" i="18"/>
  <c r="N54" i="18"/>
  <c r="P59" i="8"/>
  <c r="N55" i="10"/>
  <c r="P54" i="9"/>
  <c r="E11" i="52"/>
  <c r="F11" i="52" s="1"/>
  <c r="D11" i="52"/>
  <c r="J26" i="50"/>
  <c r="D73" i="49"/>
  <c r="E52" i="49"/>
  <c r="O5" i="46"/>
  <c r="N5" i="45"/>
  <c r="O5" i="45" s="1"/>
  <c r="P5" i="45" s="1"/>
  <c r="K59" i="11"/>
  <c r="O59" i="11"/>
  <c r="X39" i="27"/>
  <c r="K59" i="14"/>
  <c r="O59" i="14"/>
  <c r="J59" i="14"/>
  <c r="N59" i="14"/>
  <c r="L55" i="25"/>
  <c r="P55" i="25"/>
  <c r="J57" i="5"/>
  <c r="J56" i="26"/>
  <c r="N56" i="26"/>
  <c r="J56" i="22"/>
  <c r="N56" i="22"/>
  <c r="L56" i="10"/>
  <c r="P56" i="10"/>
  <c r="J56" i="19"/>
  <c r="N56" i="19"/>
  <c r="N82" i="49"/>
  <c r="O82" i="49" s="1"/>
  <c r="P82" i="49" s="1"/>
  <c r="K56" i="13"/>
  <c r="O56" i="13"/>
  <c r="K59" i="25"/>
  <c r="O59" i="25"/>
  <c r="K55" i="15"/>
  <c r="O55" i="15"/>
  <c r="K59" i="15"/>
  <c r="O59" i="15"/>
  <c r="K56" i="11"/>
  <c r="O56" i="11"/>
  <c r="K56" i="18"/>
  <c r="O56" i="18"/>
  <c r="J55" i="8"/>
  <c r="N55" i="8"/>
  <c r="L59" i="24"/>
  <c r="P59" i="24"/>
  <c r="J55" i="22"/>
  <c r="N55" i="22"/>
  <c r="L54" i="25"/>
  <c r="P54" i="25"/>
  <c r="K54" i="17"/>
  <c r="O54" i="17"/>
  <c r="L54" i="7"/>
  <c r="P54" i="7"/>
  <c r="J59" i="8"/>
  <c r="N59" i="8"/>
  <c r="L55" i="17"/>
  <c r="P55" i="17"/>
  <c r="I48" i="24"/>
  <c r="M48" i="24"/>
  <c r="M49" i="24" s="1"/>
  <c r="L48" i="23"/>
  <c r="P48" i="23"/>
  <c r="G47" i="26"/>
  <c r="G49" i="26" s="1"/>
  <c r="G47" i="8"/>
  <c r="H22" i="13"/>
  <c r="P22" i="13" s="1"/>
  <c r="L48" i="21"/>
  <c r="L49" i="21" s="1"/>
  <c r="P48" i="21"/>
  <c r="H47" i="22"/>
  <c r="I48" i="18"/>
  <c r="I49" i="18" s="1"/>
  <c r="M48" i="18"/>
  <c r="H47" i="7"/>
  <c r="H49" i="7" s="1"/>
  <c r="I48" i="11"/>
  <c r="M48" i="11"/>
  <c r="L57" i="23"/>
  <c r="P57" i="23"/>
  <c r="L56" i="21"/>
  <c r="P56" i="21"/>
  <c r="J54" i="19"/>
  <c r="N54" i="19"/>
  <c r="J48" i="13"/>
  <c r="N48" i="13"/>
  <c r="K56" i="17"/>
  <c r="O56" i="17"/>
  <c r="E47" i="16"/>
  <c r="J48" i="17"/>
  <c r="N48" i="17"/>
  <c r="J47" i="16"/>
  <c r="J49" i="16" s="1"/>
  <c r="J57" i="11"/>
  <c r="N57" i="11"/>
  <c r="L54" i="22"/>
  <c r="P54" i="22"/>
  <c r="K59" i="10"/>
  <c r="O59" i="10"/>
  <c r="G47" i="12"/>
  <c r="G49" i="12" s="1"/>
  <c r="L48" i="26"/>
  <c r="P48" i="26"/>
  <c r="K47" i="23"/>
  <c r="K49" i="23" s="1"/>
  <c r="O47" i="23"/>
  <c r="J55" i="24"/>
  <c r="N55" i="24"/>
  <c r="I48" i="15"/>
  <c r="M48" i="15"/>
  <c r="G47" i="25"/>
  <c r="L48" i="16"/>
  <c r="P48" i="16"/>
  <c r="J48" i="15"/>
  <c r="J49" i="15" s="1"/>
  <c r="N48" i="15"/>
  <c r="H47" i="10"/>
  <c r="H49" i="10" s="1"/>
  <c r="J48" i="8"/>
  <c r="N48" i="8"/>
  <c r="N49" i="8" s="1"/>
  <c r="L58" i="13"/>
  <c r="P58" i="13"/>
  <c r="E47" i="25"/>
  <c r="E49" i="25" s="1"/>
  <c r="D50" i="34" s="1"/>
  <c r="F47" i="25"/>
  <c r="F49" i="25" s="1"/>
  <c r="H47" i="26"/>
  <c r="L47" i="12"/>
  <c r="N59" i="7"/>
  <c r="O48" i="23"/>
  <c r="O48" i="14"/>
  <c r="O47" i="19"/>
  <c r="O59" i="19"/>
  <c r="O55" i="11"/>
  <c r="P55" i="20"/>
  <c r="P58" i="8"/>
  <c r="N58" i="21"/>
  <c r="N58" i="25"/>
  <c r="N56" i="17"/>
  <c r="N56" i="18"/>
  <c r="N54" i="16"/>
  <c r="P59" i="15"/>
  <c r="M48" i="5"/>
  <c r="N57" i="23"/>
  <c r="P48" i="18"/>
  <c r="M48" i="10"/>
  <c r="M49" i="10" s="1"/>
  <c r="M48" i="26"/>
  <c r="O5" i="50"/>
  <c r="O26" i="50" s="1"/>
  <c r="N26" i="50"/>
  <c r="D6" i="52"/>
  <c r="E6" i="52"/>
  <c r="F6" i="52" s="1"/>
  <c r="E25" i="52"/>
  <c r="F25" i="52" s="1"/>
  <c r="D25" i="52"/>
  <c r="D24" i="52"/>
  <c r="E24" i="52"/>
  <c r="F24" i="52" s="1"/>
  <c r="G5" i="50"/>
  <c r="G26" i="50" s="1"/>
  <c r="F26" i="50"/>
  <c r="L58" i="21"/>
  <c r="P58" i="21"/>
  <c r="L57" i="26"/>
  <c r="P57" i="26"/>
  <c r="K59" i="23"/>
  <c r="O59" i="23"/>
  <c r="K58" i="9"/>
  <c r="O58" i="9"/>
  <c r="I53" i="22"/>
  <c r="M53" i="22"/>
  <c r="C50" i="29"/>
  <c r="G39" i="30" s="1"/>
  <c r="L55" i="13"/>
  <c r="P55" i="13"/>
  <c r="K59" i="20"/>
  <c r="O59" i="20"/>
  <c r="K56" i="22"/>
  <c r="O56" i="22"/>
  <c r="K59" i="9"/>
  <c r="O59" i="9"/>
  <c r="L58" i="18"/>
  <c r="P58" i="18"/>
  <c r="K55" i="7"/>
  <c r="O55" i="7"/>
  <c r="J59" i="25"/>
  <c r="N59" i="25"/>
  <c r="L55" i="15"/>
  <c r="P55" i="15"/>
  <c r="K58" i="19"/>
  <c r="O58" i="19"/>
  <c r="F55" i="5"/>
  <c r="M55" i="5"/>
  <c r="M58" i="29" s="1"/>
  <c r="Q58" i="29" s="1"/>
  <c r="K59" i="22"/>
  <c r="O59" i="22"/>
  <c r="J59" i="22"/>
  <c r="N59" i="22"/>
  <c r="K58" i="14"/>
  <c r="O58" i="14"/>
  <c r="L54" i="21"/>
  <c r="P54" i="21"/>
  <c r="J54" i="11"/>
  <c r="N54" i="11"/>
  <c r="L59" i="16"/>
  <c r="P59" i="16"/>
  <c r="I47" i="15"/>
  <c r="I49" i="15" s="1"/>
  <c r="M47" i="15"/>
  <c r="M49" i="15" s="1"/>
  <c r="G47" i="10"/>
  <c r="G49" i="10" s="1"/>
  <c r="L47" i="23"/>
  <c r="P47" i="23"/>
  <c r="J48" i="14"/>
  <c r="N48" i="14"/>
  <c r="N49" i="14" s="1"/>
  <c r="E47" i="14"/>
  <c r="E49" i="14" s="1"/>
  <c r="D33" i="34" s="1"/>
  <c r="J59" i="10"/>
  <c r="N59" i="10"/>
  <c r="K55" i="23"/>
  <c r="O55" i="23"/>
  <c r="J56" i="25"/>
  <c r="N56" i="25"/>
  <c r="K59" i="21"/>
  <c r="O59" i="21"/>
  <c r="I53" i="18"/>
  <c r="M53" i="18"/>
  <c r="L55" i="19"/>
  <c r="P55" i="19"/>
  <c r="J56" i="20"/>
  <c r="N56" i="20"/>
  <c r="G47" i="16"/>
  <c r="J47" i="10"/>
  <c r="J49" i="10" s="1"/>
  <c r="M47" i="5"/>
  <c r="K57" i="11"/>
  <c r="O57" i="11"/>
  <c r="K59" i="17"/>
  <c r="O59" i="17"/>
  <c r="I48" i="14"/>
  <c r="M48" i="14"/>
  <c r="L55" i="21"/>
  <c r="P55" i="21"/>
  <c r="F47" i="12"/>
  <c r="F49" i="12" s="1"/>
  <c r="L47" i="25"/>
  <c r="L49" i="25" s="1"/>
  <c r="O54" i="13"/>
  <c r="O48" i="5"/>
  <c r="O48" i="19"/>
  <c r="O48" i="12"/>
  <c r="O54" i="26"/>
  <c r="O59" i="13"/>
  <c r="O59" i="26"/>
  <c r="O55" i="26"/>
  <c r="O56" i="7"/>
  <c r="O56" i="20"/>
  <c r="M58" i="10"/>
  <c r="N59" i="21"/>
  <c r="N55" i="7"/>
  <c r="N48" i="16"/>
  <c r="N49" i="16" s="1"/>
  <c r="O58" i="10"/>
  <c r="P55" i="14"/>
  <c r="N47" i="11"/>
  <c r="N54" i="17"/>
  <c r="P58" i="19"/>
  <c r="N56" i="9"/>
  <c r="P58" i="16"/>
  <c r="P54" i="8"/>
  <c r="P54" i="20"/>
  <c r="P55" i="11"/>
  <c r="P56" i="13"/>
  <c r="P56" i="24"/>
  <c r="P48" i="15"/>
  <c r="P49" i="15" s="1"/>
  <c r="P56" i="14"/>
  <c r="M57" i="12"/>
  <c r="M57" i="22"/>
  <c r="P47" i="5"/>
  <c r="M57" i="19"/>
  <c r="P48" i="20"/>
  <c r="P49" i="20" s="1"/>
  <c r="P48" i="17"/>
  <c r="P56" i="9"/>
  <c r="P54" i="23"/>
  <c r="D16" i="52"/>
  <c r="E16" i="52"/>
  <c r="F16" i="52" s="1"/>
  <c r="E19" i="52"/>
  <c r="F19" i="52" s="1"/>
  <c r="D19" i="52"/>
  <c r="E12" i="52"/>
  <c r="F12" i="52" s="1"/>
  <c r="D12" i="52"/>
  <c r="C5" i="52"/>
  <c r="B26" i="52"/>
  <c r="D14" i="52"/>
  <c r="E14" i="52"/>
  <c r="F14" i="52" s="1"/>
  <c r="E20" i="52"/>
  <c r="F20" i="52" s="1"/>
  <c r="D20" i="52"/>
  <c r="P26" i="50"/>
  <c r="E5" i="50"/>
  <c r="E26" i="50" s="1"/>
  <c r="D26" i="50"/>
  <c r="D22" i="52"/>
  <c r="E22" i="52"/>
  <c r="F22" i="52" s="1"/>
  <c r="D18" i="52"/>
  <c r="E18" i="52"/>
  <c r="F18" i="52" s="1"/>
  <c r="E9" i="52"/>
  <c r="F9" i="52" s="1"/>
  <c r="D9" i="52"/>
  <c r="D8" i="52"/>
  <c r="E8" i="52"/>
  <c r="F8" i="52" s="1"/>
  <c r="E23" i="52"/>
  <c r="F23" i="52" s="1"/>
  <c r="D23" i="52"/>
  <c r="I26" i="50"/>
  <c r="D10" i="52"/>
  <c r="E10" i="52"/>
  <c r="F10" i="52" s="1"/>
  <c r="E17" i="52"/>
  <c r="F17" i="52" s="1"/>
  <c r="D17" i="52"/>
  <c r="E15" i="52"/>
  <c r="F15" i="52" s="1"/>
  <c r="D15" i="52"/>
  <c r="E13" i="52"/>
  <c r="F13" i="52" s="1"/>
  <c r="D13" i="52"/>
  <c r="E7" i="52"/>
  <c r="F7" i="52" s="1"/>
  <c r="D7" i="52"/>
  <c r="E21" i="52"/>
  <c r="F21" i="52" s="1"/>
  <c r="D21" i="52"/>
  <c r="E79" i="49"/>
  <c r="D26" i="49"/>
  <c r="F79" i="49"/>
  <c r="E26" i="49"/>
  <c r="I18" i="29"/>
  <c r="G20" i="45"/>
  <c r="H20" i="45" s="1"/>
  <c r="M20" i="45"/>
  <c r="O20" i="46" s="1"/>
  <c r="G12" i="45"/>
  <c r="H12" i="45" s="1"/>
  <c r="M12" i="45"/>
  <c r="O12" i="46" s="1"/>
  <c r="G14" i="45"/>
  <c r="H14" i="45" s="1"/>
  <c r="M14" i="45"/>
  <c r="O14" i="46" s="1"/>
  <c r="G9" i="45"/>
  <c r="H9" i="45" s="1"/>
  <c r="M9" i="45"/>
  <c r="O9" i="46" s="1"/>
  <c r="G10" i="45"/>
  <c r="H10" i="45" s="1"/>
  <c r="M10" i="45"/>
  <c r="O10" i="46" s="1"/>
  <c r="G22" i="45"/>
  <c r="H22" i="45" s="1"/>
  <c r="M22" i="45"/>
  <c r="O22" i="46" s="1"/>
  <c r="G19" i="45"/>
  <c r="H19" i="45" s="1"/>
  <c r="M19" i="45"/>
  <c r="O19" i="46" s="1"/>
  <c r="G15" i="45"/>
  <c r="H15" i="45" s="1"/>
  <c r="M15" i="45"/>
  <c r="O15" i="46" s="1"/>
  <c r="G18" i="45"/>
  <c r="H18" i="45" s="1"/>
  <c r="M18" i="45"/>
  <c r="O18" i="46" s="1"/>
  <c r="G16" i="45"/>
  <c r="H16" i="45" s="1"/>
  <c r="M16" i="45"/>
  <c r="O16" i="46" s="1"/>
  <c r="G25" i="45"/>
  <c r="H25" i="45" s="1"/>
  <c r="M25" i="45"/>
  <c r="O25" i="46" s="1"/>
  <c r="G21" i="45"/>
  <c r="H21" i="45" s="1"/>
  <c r="M21" i="45"/>
  <c r="O21" i="46" s="1"/>
  <c r="G23" i="45"/>
  <c r="H23" i="45" s="1"/>
  <c r="M23" i="45"/>
  <c r="O23" i="46" s="1"/>
  <c r="G11" i="45"/>
  <c r="H11" i="45" s="1"/>
  <c r="M11" i="45"/>
  <c r="O11" i="46" s="1"/>
  <c r="G24" i="45"/>
  <c r="H24" i="45" s="1"/>
  <c r="M24" i="45"/>
  <c r="O24" i="46" s="1"/>
  <c r="G6" i="45"/>
  <c r="H6" i="45" s="1"/>
  <c r="M26" i="45"/>
  <c r="M6" i="45"/>
  <c r="O6" i="46" s="1"/>
  <c r="G13" i="45"/>
  <c r="H13" i="45" s="1"/>
  <c r="M13" i="45"/>
  <c r="O13" i="46" s="1"/>
  <c r="G8" i="45"/>
  <c r="H8" i="45" s="1"/>
  <c r="M8" i="45"/>
  <c r="O8" i="46" s="1"/>
  <c r="G7" i="45"/>
  <c r="H7" i="45" s="1"/>
  <c r="M7" i="45"/>
  <c r="O7" i="46" s="1"/>
  <c r="G17" i="45"/>
  <c r="H17" i="45" s="1"/>
  <c r="M17" i="45"/>
  <c r="O17" i="46" s="1"/>
  <c r="D22" i="22"/>
  <c r="D29" i="22" s="1"/>
  <c r="C15" i="34"/>
  <c r="G22" i="13"/>
  <c r="O22" i="13" s="1"/>
  <c r="H22" i="12"/>
  <c r="P22" i="12" s="1"/>
  <c r="G22" i="12"/>
  <c r="O22" i="12" s="1"/>
  <c r="H22" i="22"/>
  <c r="P22" i="22" s="1"/>
  <c r="P29" i="22" s="1"/>
  <c r="F22" i="13"/>
  <c r="N22" i="13" s="1"/>
  <c r="E25" i="29"/>
  <c r="D25" i="29" s="1"/>
  <c r="H22" i="25"/>
  <c r="P22" i="25" s="1"/>
  <c r="F32" i="5"/>
  <c r="N32" i="5" s="1"/>
  <c r="G22" i="25"/>
  <c r="O22" i="25" s="1"/>
  <c r="F32" i="21"/>
  <c r="H32" i="22"/>
  <c r="E32" i="8"/>
  <c r="I32" i="8" s="1"/>
  <c r="I43" i="8" s="1"/>
  <c r="D65" i="5"/>
  <c r="G11" i="22"/>
  <c r="D24" i="34"/>
  <c r="C24" i="34"/>
  <c r="D23" i="34"/>
  <c r="C23" i="34"/>
  <c r="D22" i="34"/>
  <c r="C22" i="34"/>
  <c r="B22" i="34"/>
  <c r="D21" i="34"/>
  <c r="C21" i="34"/>
  <c r="C20" i="34"/>
  <c r="D20" i="34"/>
  <c r="D19" i="34"/>
  <c r="B19" i="34"/>
  <c r="C18" i="34"/>
  <c r="D18" i="34"/>
  <c r="B18" i="34"/>
  <c r="D17" i="34"/>
  <c r="C17" i="34"/>
  <c r="B17" i="34"/>
  <c r="C16" i="34"/>
  <c r="D16" i="34"/>
  <c r="D15" i="34"/>
  <c r="D14" i="34"/>
  <c r="C14" i="34"/>
  <c r="C13" i="34"/>
  <c r="D13" i="34"/>
  <c r="C12" i="34"/>
  <c r="D12" i="34"/>
  <c r="B11" i="34"/>
  <c r="C11" i="34"/>
  <c r="D11" i="34"/>
  <c r="B10" i="34"/>
  <c r="D10" i="34"/>
  <c r="C10" i="34"/>
  <c r="D9" i="34"/>
  <c r="B9" i="34"/>
  <c r="C9" i="34"/>
  <c r="C8" i="34"/>
  <c r="D8" i="34"/>
  <c r="B7" i="34"/>
  <c r="C7" i="34"/>
  <c r="D7" i="34"/>
  <c r="B6" i="34"/>
  <c r="D6" i="34"/>
  <c r="C5" i="34"/>
  <c r="D5" i="34"/>
  <c r="D4" i="34"/>
  <c r="C4" i="34"/>
  <c r="G32" i="21"/>
  <c r="F32" i="9"/>
  <c r="F32" i="25"/>
  <c r="E32" i="14"/>
  <c r="G32" i="10"/>
  <c r="E32" i="21"/>
  <c r="I32" i="21" s="1"/>
  <c r="I43" i="21" s="1"/>
  <c r="E32" i="22"/>
  <c r="I32" i="22" s="1"/>
  <c r="I43" i="22" s="1"/>
  <c r="G32" i="8"/>
  <c r="F32" i="16"/>
  <c r="H32" i="26"/>
  <c r="G32" i="20"/>
  <c r="H32" i="18"/>
  <c r="F32" i="23"/>
  <c r="E32" i="13"/>
  <c r="I32" i="13" s="1"/>
  <c r="I43" i="13" s="1"/>
  <c r="H32" i="11"/>
  <c r="F32" i="24"/>
  <c r="H32" i="17"/>
  <c r="E32" i="7"/>
  <c r="I32" i="7" s="1"/>
  <c r="I43" i="7" s="1"/>
  <c r="G32" i="19"/>
  <c r="H32" i="15"/>
  <c r="H32" i="13"/>
  <c r="G32" i="23"/>
  <c r="G32" i="13"/>
  <c r="G32" i="15"/>
  <c r="G32" i="24"/>
  <c r="F32" i="18"/>
  <c r="E32" i="19"/>
  <c r="I32" i="19" s="1"/>
  <c r="I43" i="19" s="1"/>
  <c r="F32" i="13"/>
  <c r="F32" i="7"/>
  <c r="G22" i="29"/>
  <c r="E32" i="20"/>
  <c r="M32" i="20" s="1"/>
  <c r="H32" i="23"/>
  <c r="H32" i="7"/>
  <c r="F22" i="29"/>
  <c r="E32" i="23"/>
  <c r="I32" i="23" s="1"/>
  <c r="I43" i="23" s="1"/>
  <c r="E32" i="18"/>
  <c r="O65" i="18"/>
  <c r="G32" i="18"/>
  <c r="H32" i="19"/>
  <c r="E32" i="17"/>
  <c r="N65" i="9"/>
  <c r="G32" i="17"/>
  <c r="F5" i="45"/>
  <c r="D5" i="46"/>
  <c r="E5" i="46" s="1"/>
  <c r="I5" i="46" s="1"/>
  <c r="G32" i="5"/>
  <c r="E32" i="5"/>
  <c r="H32" i="5"/>
  <c r="H22" i="29"/>
  <c r="H32" i="21"/>
  <c r="E32" i="15"/>
  <c r="M32" i="15" s="1"/>
  <c r="F32" i="15"/>
  <c r="H32" i="8"/>
  <c r="O65" i="7"/>
  <c r="G26" i="29"/>
  <c r="O65" i="10"/>
  <c r="N65" i="13"/>
  <c r="H11" i="8"/>
  <c r="G11" i="23"/>
  <c r="H32" i="24"/>
  <c r="N65" i="25"/>
  <c r="O65" i="16"/>
  <c r="E32" i="24"/>
  <c r="E32" i="26"/>
  <c r="H32" i="9"/>
  <c r="G32" i="9"/>
  <c r="F32" i="11"/>
  <c r="E32" i="9"/>
  <c r="E32" i="11"/>
  <c r="G32" i="11"/>
  <c r="G32" i="25"/>
  <c r="O65" i="12"/>
  <c r="F32" i="20"/>
  <c r="F32" i="10"/>
  <c r="G32" i="26"/>
  <c r="F32" i="26"/>
  <c r="H32" i="20"/>
  <c r="H32" i="10"/>
  <c r="L32" i="10" s="1"/>
  <c r="L43" i="10" s="1"/>
  <c r="G32" i="14"/>
  <c r="F32" i="14"/>
  <c r="H32" i="14"/>
  <c r="H32" i="25"/>
  <c r="F24" i="46"/>
  <c r="D24" i="46"/>
  <c r="E7" i="45"/>
  <c r="D7" i="45"/>
  <c r="F7" i="45" s="1"/>
  <c r="F6" i="46"/>
  <c r="C26" i="46"/>
  <c r="D6" i="46"/>
  <c r="E17" i="45"/>
  <c r="D17" i="45"/>
  <c r="F17" i="45" s="1"/>
  <c r="F32" i="8"/>
  <c r="F32" i="19"/>
  <c r="G32" i="7"/>
  <c r="F32" i="22"/>
  <c r="E20" i="45"/>
  <c r="D20" i="45"/>
  <c r="F20" i="45" s="1"/>
  <c r="F7" i="46"/>
  <c r="D7" i="46"/>
  <c r="E21" i="45"/>
  <c r="D21" i="45"/>
  <c r="F21" i="45" s="1"/>
  <c r="E15" i="45"/>
  <c r="D15" i="45"/>
  <c r="F15" i="45" s="1"/>
  <c r="F17" i="46"/>
  <c r="D17" i="46"/>
  <c r="E13" i="45"/>
  <c r="D13" i="45"/>
  <c r="F13" i="45" s="1"/>
  <c r="F25" i="46"/>
  <c r="D25" i="46"/>
  <c r="F20" i="46"/>
  <c r="D20" i="46"/>
  <c r="F21" i="46"/>
  <c r="D21" i="46"/>
  <c r="E23" i="45"/>
  <c r="D23" i="45"/>
  <c r="F23" i="45" s="1"/>
  <c r="F15" i="46"/>
  <c r="D15" i="46"/>
  <c r="E8" i="45"/>
  <c r="D8" i="45"/>
  <c r="F8" i="45" s="1"/>
  <c r="H32" i="16"/>
  <c r="G32" i="22"/>
  <c r="E12" i="45"/>
  <c r="D12" i="45"/>
  <c r="F12" i="45" s="1"/>
  <c r="E14" i="45"/>
  <c r="D14" i="45"/>
  <c r="F14" i="45" s="1"/>
  <c r="F23" i="46"/>
  <c r="D23" i="46"/>
  <c r="F8" i="46"/>
  <c r="D8" i="46"/>
  <c r="E9" i="45"/>
  <c r="D9" i="45"/>
  <c r="F9" i="45" s="1"/>
  <c r="F11" i="46"/>
  <c r="D11" i="46"/>
  <c r="F18" i="46"/>
  <c r="D18" i="46"/>
  <c r="F16" i="46"/>
  <c r="D16" i="46"/>
  <c r="E6" i="45"/>
  <c r="D6" i="45"/>
  <c r="C26" i="45"/>
  <c r="E32" i="25"/>
  <c r="F13" i="46"/>
  <c r="D13" i="46"/>
  <c r="H11" i="7"/>
  <c r="G32" i="16"/>
  <c r="F32" i="17"/>
  <c r="E10" i="45"/>
  <c r="D10" i="45"/>
  <c r="F10" i="45" s="1"/>
  <c r="F12" i="46"/>
  <c r="D12" i="46"/>
  <c r="F14" i="46"/>
  <c r="D14" i="46"/>
  <c r="E22" i="45"/>
  <c r="D22" i="45"/>
  <c r="F22" i="45" s="1"/>
  <c r="F9" i="46"/>
  <c r="D9" i="46"/>
  <c r="E19" i="45"/>
  <c r="D19" i="45"/>
  <c r="F19" i="45" s="1"/>
  <c r="E18" i="45"/>
  <c r="D18" i="45"/>
  <c r="F18" i="45" s="1"/>
  <c r="E16" i="45"/>
  <c r="D16" i="45"/>
  <c r="F16" i="45" s="1"/>
  <c r="E25" i="45"/>
  <c r="D25" i="45"/>
  <c r="F25" i="45" s="1"/>
  <c r="E24" i="45"/>
  <c r="D24" i="45"/>
  <c r="F24" i="45" s="1"/>
  <c r="F11" i="23"/>
  <c r="E32" i="16"/>
  <c r="E32" i="10"/>
  <c r="M32" i="10" s="1"/>
  <c r="F10" i="46"/>
  <c r="D10" i="46"/>
  <c r="F22" i="46"/>
  <c r="D22" i="46"/>
  <c r="E11" i="45"/>
  <c r="D11" i="45"/>
  <c r="F11" i="45" s="1"/>
  <c r="F19" i="46"/>
  <c r="D19" i="46"/>
  <c r="G11" i="19"/>
  <c r="F11" i="8"/>
  <c r="H11" i="20"/>
  <c r="H20" i="29"/>
  <c r="G11" i="15"/>
  <c r="G11" i="13"/>
  <c r="F11" i="7"/>
  <c r="G20" i="29"/>
  <c r="F11" i="13"/>
  <c r="F11" i="19"/>
  <c r="O65" i="22"/>
  <c r="M65" i="24"/>
  <c r="F11" i="18"/>
  <c r="G11" i="7"/>
  <c r="F23" i="29"/>
  <c r="E29" i="15"/>
  <c r="C37" i="34" s="1"/>
  <c r="E29" i="10"/>
  <c r="C43" i="34" s="1"/>
  <c r="G13" i="29"/>
  <c r="H11" i="23"/>
  <c r="N65" i="15"/>
  <c r="G11" i="10"/>
  <c r="F13" i="29"/>
  <c r="H13" i="29"/>
  <c r="F11" i="26"/>
  <c r="O65" i="23"/>
  <c r="N65" i="26"/>
  <c r="G52" i="34"/>
  <c r="M45" i="29"/>
  <c r="Q45" i="29" s="1"/>
  <c r="E29" i="16"/>
  <c r="C39" i="34" s="1"/>
  <c r="N65" i="8"/>
  <c r="N65" i="11"/>
  <c r="O26" i="29"/>
  <c r="S26" i="29" s="1"/>
  <c r="N65" i="16"/>
  <c r="O65" i="24"/>
  <c r="O65" i="26"/>
  <c r="O65" i="5"/>
  <c r="O65" i="25"/>
  <c r="L11" i="5"/>
  <c r="L11" i="18"/>
  <c r="L11" i="25"/>
  <c r="O65" i="11"/>
  <c r="P65" i="8"/>
  <c r="P65" i="10"/>
  <c r="O65" i="21"/>
  <c r="M65" i="8"/>
  <c r="O65" i="8"/>
  <c r="M20" i="29"/>
  <c r="Q20" i="29" s="1"/>
  <c r="M23" i="29"/>
  <c r="Q23" i="29" s="1"/>
  <c r="P45" i="29"/>
  <c r="T45" i="29" s="1"/>
  <c r="O65" i="17"/>
  <c r="O65" i="9"/>
  <c r="O65" i="15"/>
  <c r="N65" i="12"/>
  <c r="P11" i="21"/>
  <c r="L11" i="16"/>
  <c r="L11" i="13"/>
  <c r="L11" i="22"/>
  <c r="L11" i="17"/>
  <c r="L11" i="20"/>
  <c r="L11" i="29"/>
  <c r="L11" i="12"/>
  <c r="L11" i="21"/>
  <c r="L11" i="9"/>
  <c r="L11" i="11"/>
  <c r="L11" i="19"/>
  <c r="L11" i="14"/>
  <c r="L11" i="8"/>
  <c r="L11" i="23"/>
  <c r="L12" i="29"/>
  <c r="L13" i="29"/>
  <c r="L11" i="26"/>
  <c r="L11" i="7"/>
  <c r="I65" i="9"/>
  <c r="L10" i="29"/>
  <c r="L11" i="10"/>
  <c r="L11" i="24"/>
  <c r="L11" i="15"/>
  <c r="L9" i="29"/>
  <c r="M33" i="15"/>
  <c r="N65" i="24"/>
  <c r="O22" i="29"/>
  <c r="S22" i="29" s="1"/>
  <c r="N65" i="22"/>
  <c r="D13" i="24"/>
  <c r="D29" i="24" s="1"/>
  <c r="M13" i="20"/>
  <c r="M29" i="20" s="1"/>
  <c r="M13" i="24"/>
  <c r="M29" i="24" s="1"/>
  <c r="F49" i="18"/>
  <c r="N30" i="29"/>
  <c r="R30" i="29" s="1"/>
  <c r="M13" i="21"/>
  <c r="M29" i="21" s="1"/>
  <c r="M13" i="26"/>
  <c r="M29" i="26" s="1"/>
  <c r="D33" i="7"/>
  <c r="M33" i="7"/>
  <c r="D33" i="23"/>
  <c r="M33" i="23"/>
  <c r="M13" i="23"/>
  <c r="M29" i="23" s="1"/>
  <c r="M33" i="10"/>
  <c r="M33" i="20"/>
  <c r="N65" i="18"/>
  <c r="P17" i="5"/>
  <c r="P20" i="29" s="1"/>
  <c r="T20" i="29" s="1"/>
  <c r="M33" i="16"/>
  <c r="H32" i="12"/>
  <c r="P32" i="12" s="1"/>
  <c r="G32" i="12"/>
  <c r="O32" i="12" s="1"/>
  <c r="F32" i="12"/>
  <c r="N32" i="12" s="1"/>
  <c r="N22" i="29"/>
  <c r="R22" i="29" s="1"/>
  <c r="M33" i="18"/>
  <c r="M33" i="21"/>
  <c r="M33" i="19"/>
  <c r="F20" i="29"/>
  <c r="N17" i="5"/>
  <c r="N20" i="29" s="1"/>
  <c r="R20" i="29" s="1"/>
  <c r="D33" i="13"/>
  <c r="M33" i="13"/>
  <c r="M13" i="18"/>
  <c r="M29" i="18" s="1"/>
  <c r="O17" i="5"/>
  <c r="O20" i="29" s="1"/>
  <c r="S20" i="29" s="1"/>
  <c r="M33" i="8"/>
  <c r="D33" i="26"/>
  <c r="M33" i="26"/>
  <c r="H33" i="12"/>
  <c r="P33" i="12" s="1"/>
  <c r="F33" i="12"/>
  <c r="N33" i="12" s="1"/>
  <c r="G33" i="12"/>
  <c r="O33" i="12" s="1"/>
  <c r="O36" i="29" s="1"/>
  <c r="M33" i="9"/>
  <c r="D33" i="5"/>
  <c r="M33" i="5"/>
  <c r="M13" i="8"/>
  <c r="M29" i="8" s="1"/>
  <c r="M13" i="9"/>
  <c r="M29" i="9" s="1"/>
  <c r="M33" i="11"/>
  <c r="P22" i="29"/>
  <c r="T22" i="29" s="1"/>
  <c r="D33" i="17"/>
  <c r="M33" i="17"/>
  <c r="D33" i="24"/>
  <c r="M33" i="24"/>
  <c r="M13" i="5"/>
  <c r="N20" i="5"/>
  <c r="N23" i="29" s="1"/>
  <c r="R23" i="29" s="1"/>
  <c r="M33" i="25"/>
  <c r="M33" i="14"/>
  <c r="M11" i="29"/>
  <c r="Q11" i="29" s="1"/>
  <c r="M13" i="13"/>
  <c r="M29" i="13" s="1"/>
  <c r="D33" i="22"/>
  <c r="M33" i="22"/>
  <c r="I28" i="29"/>
  <c r="P44" i="29"/>
  <c r="T44" i="29" s="1"/>
  <c r="N65" i="5"/>
  <c r="O21" i="29"/>
  <c r="S21" i="29" s="1"/>
  <c r="O40" i="29"/>
  <c r="S40" i="29" s="1"/>
  <c r="P65" i="26"/>
  <c r="P9" i="29"/>
  <c r="T9" i="29" s="1"/>
  <c r="P23" i="29"/>
  <c r="T23" i="29" s="1"/>
  <c r="M22" i="29"/>
  <c r="Q22" i="29" s="1"/>
  <c r="I19" i="29"/>
  <c r="N65" i="7"/>
  <c r="N65" i="10"/>
  <c r="P21" i="29"/>
  <c r="T21" i="29" s="1"/>
  <c r="N28" i="29"/>
  <c r="R28" i="29" s="1"/>
  <c r="N65" i="23"/>
  <c r="M29" i="29"/>
  <c r="Q29" i="29" s="1"/>
  <c r="P11" i="29"/>
  <c r="T11" i="29" s="1"/>
  <c r="P65" i="21"/>
  <c r="P11" i="5"/>
  <c r="N11" i="15"/>
  <c r="M65" i="17"/>
  <c r="P11" i="11"/>
  <c r="I65" i="21"/>
  <c r="M65" i="25"/>
  <c r="I65" i="17"/>
  <c r="I65" i="8"/>
  <c r="M11" i="23"/>
  <c r="M65" i="16"/>
  <c r="P65" i="22"/>
  <c r="P49" i="12"/>
  <c r="N11" i="20"/>
  <c r="N43" i="29"/>
  <c r="R43" i="29" s="1"/>
  <c r="M12" i="29"/>
  <c r="Q12" i="29" s="1"/>
  <c r="P38" i="29"/>
  <c r="T38" i="29" s="1"/>
  <c r="J12" i="29"/>
  <c r="M11" i="13"/>
  <c r="I65" i="23"/>
  <c r="P11" i="14"/>
  <c r="M11" i="11"/>
  <c r="N45" i="29"/>
  <c r="R45" i="29" s="1"/>
  <c r="I65" i="11"/>
  <c r="P65" i="9"/>
  <c r="N41" i="29"/>
  <c r="R41" i="29" s="1"/>
  <c r="J63" i="29"/>
  <c r="M11" i="8"/>
  <c r="L40" i="29"/>
  <c r="M11" i="19"/>
  <c r="I65" i="7"/>
  <c r="P65" i="16"/>
  <c r="I65" i="15"/>
  <c r="I65" i="12"/>
  <c r="I25" i="29"/>
  <c r="I65" i="18"/>
  <c r="P63" i="29"/>
  <c r="T63" i="29" s="1"/>
  <c r="N11" i="13"/>
  <c r="M11" i="7"/>
  <c r="I65" i="22"/>
  <c r="M65" i="9"/>
  <c r="I20" i="29"/>
  <c r="I65" i="13"/>
  <c r="O31" i="29"/>
  <c r="S31" i="29" s="1"/>
  <c r="M11" i="24"/>
  <c r="M11" i="16"/>
  <c r="P11" i="9"/>
  <c r="O24" i="29"/>
  <c r="S24" i="29" s="1"/>
  <c r="O63" i="29"/>
  <c r="S63" i="29" s="1"/>
  <c r="O12" i="29"/>
  <c r="S12" i="29" s="1"/>
  <c r="M31" i="29"/>
  <c r="Q31" i="29" s="1"/>
  <c r="P41" i="29"/>
  <c r="T41" i="29" s="1"/>
  <c r="M21" i="29"/>
  <c r="Q21" i="29" s="1"/>
  <c r="P65" i="25"/>
  <c r="M11" i="14"/>
  <c r="P11" i="24"/>
  <c r="P11" i="25"/>
  <c r="N49" i="29"/>
  <c r="R49" i="29" s="1"/>
  <c r="M18" i="29"/>
  <c r="Q18" i="29" s="1"/>
  <c r="I36" i="29"/>
  <c r="M40" i="29"/>
  <c r="Q40" i="29" s="1"/>
  <c r="O29" i="29"/>
  <c r="S29" i="29" s="1"/>
  <c r="M11" i="10"/>
  <c r="N11" i="11"/>
  <c r="N11" i="22"/>
  <c r="P11" i="20"/>
  <c r="N11" i="29"/>
  <c r="R11" i="29" s="1"/>
  <c r="P49" i="29"/>
  <c r="T49" i="29" s="1"/>
  <c r="P13" i="29"/>
  <c r="T13" i="29" s="1"/>
  <c r="N11" i="7"/>
  <c r="N11" i="10"/>
  <c r="P65" i="11"/>
  <c r="M11" i="15"/>
  <c r="M11" i="17"/>
  <c r="I11" i="29"/>
  <c r="P26" i="29"/>
  <c r="T26" i="29" s="1"/>
  <c r="M37" i="29"/>
  <c r="Q37" i="29" s="1"/>
  <c r="N66" i="29"/>
  <c r="R66" i="29" s="1"/>
  <c r="N21" i="29"/>
  <c r="R21" i="29" s="1"/>
  <c r="N9" i="29"/>
  <c r="R9" i="29" s="1"/>
  <c r="N19" i="29"/>
  <c r="R19" i="29" s="1"/>
  <c r="O18" i="29"/>
  <c r="S18" i="29" s="1"/>
  <c r="N44" i="29"/>
  <c r="R44" i="29" s="1"/>
  <c r="O45" i="29"/>
  <c r="S45" i="29" s="1"/>
  <c r="M65" i="18"/>
  <c r="P40" i="29"/>
  <c r="T40" i="29" s="1"/>
  <c r="N42" i="29"/>
  <c r="R42" i="29" s="1"/>
  <c r="M65" i="13"/>
  <c r="M65" i="10"/>
  <c r="M65" i="5"/>
  <c r="O43" i="29"/>
  <c r="S43" i="29" s="1"/>
  <c r="I40" i="29"/>
  <c r="I29" i="29"/>
  <c r="M9" i="29"/>
  <c r="Q9" i="29" s="1"/>
  <c r="O37" i="29"/>
  <c r="S37" i="29" s="1"/>
  <c r="P11" i="7"/>
  <c r="N11" i="9"/>
  <c r="N63" i="29"/>
  <c r="R63" i="29" s="1"/>
  <c r="M43" i="29"/>
  <c r="Q43" i="29" s="1"/>
  <c r="M63" i="29"/>
  <c r="Q63" i="29" s="1"/>
  <c r="M13" i="29"/>
  <c r="Q13" i="29" s="1"/>
  <c r="N11" i="17"/>
  <c r="M30" i="29"/>
  <c r="Q30" i="29" s="1"/>
  <c r="P11" i="23"/>
  <c r="M65" i="26"/>
  <c r="N11" i="12"/>
  <c r="P11" i="15"/>
  <c r="P19" i="29"/>
  <c r="T19" i="29" s="1"/>
  <c r="M65" i="23"/>
  <c r="M42" i="29"/>
  <c r="Q42" i="29" s="1"/>
  <c r="O41" i="29"/>
  <c r="S41" i="29" s="1"/>
  <c r="P11" i="16"/>
  <c r="N38" i="29"/>
  <c r="R38" i="29" s="1"/>
  <c r="N11" i="5"/>
  <c r="M11" i="9"/>
  <c r="P65" i="13"/>
  <c r="N31" i="29"/>
  <c r="R31" i="29" s="1"/>
  <c r="K40" i="29"/>
  <c r="I21" i="29"/>
  <c r="P11" i="18"/>
  <c r="O42" i="29"/>
  <c r="S42" i="29" s="1"/>
  <c r="M65" i="11"/>
  <c r="M26" i="29"/>
  <c r="Q26" i="29" s="1"/>
  <c r="M24" i="29"/>
  <c r="Q24" i="29" s="1"/>
  <c r="P28" i="29"/>
  <c r="T28" i="29" s="1"/>
  <c r="P42" i="29"/>
  <c r="T42" i="29" s="1"/>
  <c r="O9" i="29"/>
  <c r="S9" i="29" s="1"/>
  <c r="N37" i="29"/>
  <c r="R37" i="29" s="1"/>
  <c r="M65" i="21"/>
  <c r="N10" i="29"/>
  <c r="R10" i="29" s="1"/>
  <c r="P18" i="29"/>
  <c r="T18" i="29" s="1"/>
  <c r="M11" i="12"/>
  <c r="P43" i="29"/>
  <c r="T43" i="29" s="1"/>
  <c r="O66" i="29"/>
  <c r="S66" i="29" s="1"/>
  <c r="P29" i="29"/>
  <c r="T29" i="29" s="1"/>
  <c r="P65" i="5"/>
  <c r="M11" i="25"/>
  <c r="M11" i="26"/>
  <c r="O11" i="10"/>
  <c r="M11" i="18"/>
  <c r="N13" i="29"/>
  <c r="R13" i="29" s="1"/>
  <c r="M44" i="29"/>
  <c r="Q44" i="29" s="1"/>
  <c r="P10" i="29"/>
  <c r="M65" i="7"/>
  <c r="N65" i="17"/>
  <c r="I23" i="29"/>
  <c r="O11" i="29"/>
  <c r="S11" i="29" s="1"/>
  <c r="P30" i="29"/>
  <c r="T30" i="29" s="1"/>
  <c r="O44" i="29"/>
  <c r="S44" i="29" s="1"/>
  <c r="M11" i="20"/>
  <c r="P11" i="12"/>
  <c r="P65" i="15"/>
  <c r="N11" i="26"/>
  <c r="M11" i="21"/>
  <c r="M11" i="22"/>
  <c r="P29" i="15"/>
  <c r="P29" i="17"/>
  <c r="M41" i="29"/>
  <c r="Q41" i="29" s="1"/>
  <c r="I12" i="29"/>
  <c r="K26" i="29"/>
  <c r="O30" i="29"/>
  <c r="S30" i="29" s="1"/>
  <c r="N11" i="14"/>
  <c r="P65" i="17"/>
  <c r="M11" i="5"/>
  <c r="P11" i="8"/>
  <c r="P65" i="12"/>
  <c r="I29" i="21"/>
  <c r="I29" i="22"/>
  <c r="N11" i="21"/>
  <c r="N11" i="24"/>
  <c r="P29" i="7"/>
  <c r="M66" i="29"/>
  <c r="Q66" i="29" s="1"/>
  <c r="P65" i="24"/>
  <c r="I31" i="29"/>
  <c r="K63" i="29"/>
  <c r="P29" i="10"/>
  <c r="I30" i="29"/>
  <c r="I29" i="7"/>
  <c r="I29" i="16"/>
  <c r="O49" i="20"/>
  <c r="N11" i="8"/>
  <c r="P29" i="19"/>
  <c r="M65" i="12"/>
  <c r="I26" i="29"/>
  <c r="L63" i="29"/>
  <c r="I11" i="19"/>
  <c r="N11" i="16"/>
  <c r="P65" i="7"/>
  <c r="N40" i="29"/>
  <c r="R40" i="29" s="1"/>
  <c r="N11" i="25"/>
  <c r="P65" i="18"/>
  <c r="O11" i="26"/>
  <c r="P11" i="26"/>
  <c r="I22" i="29"/>
  <c r="P11" i="10"/>
  <c r="I24" i="29"/>
  <c r="P11" i="17"/>
  <c r="M49" i="29"/>
  <c r="Q49" i="29" s="1"/>
  <c r="I13" i="29"/>
  <c r="N11" i="18"/>
  <c r="I29" i="20"/>
  <c r="I29" i="24"/>
  <c r="I29" i="14"/>
  <c r="N11" i="23"/>
  <c r="N11" i="19"/>
  <c r="P11" i="19"/>
  <c r="M25" i="29"/>
  <c r="Q25" i="29" s="1"/>
  <c r="P12" i="29"/>
  <c r="T12" i="29" s="1"/>
  <c r="P11" i="13"/>
  <c r="P11" i="22"/>
  <c r="N26" i="29"/>
  <c r="R26" i="29" s="1"/>
  <c r="N49" i="9"/>
  <c r="M65" i="22"/>
  <c r="M38" i="29"/>
  <c r="Q38" i="29" s="1"/>
  <c r="P31" i="29"/>
  <c r="T31" i="29" s="1"/>
  <c r="I29" i="25"/>
  <c r="I29" i="26"/>
  <c r="I29" i="19"/>
  <c r="I29" i="17"/>
  <c r="I29" i="12"/>
  <c r="I29" i="23"/>
  <c r="I29" i="10"/>
  <c r="I29" i="13"/>
  <c r="I11" i="15"/>
  <c r="I29" i="11"/>
  <c r="I29" i="8"/>
  <c r="I29" i="9"/>
  <c r="I29" i="18"/>
  <c r="I29" i="15"/>
  <c r="P29" i="16"/>
  <c r="P29" i="11"/>
  <c r="O11" i="24"/>
  <c r="O11" i="19"/>
  <c r="O11" i="16"/>
  <c r="O11" i="12"/>
  <c r="I11" i="25"/>
  <c r="I11" i="12"/>
  <c r="J11" i="5"/>
  <c r="O11" i="15"/>
  <c r="O11" i="25"/>
  <c r="M29" i="11"/>
  <c r="O11" i="14"/>
  <c r="O11" i="13"/>
  <c r="O11" i="22"/>
  <c r="O11" i="8"/>
  <c r="O11" i="7"/>
  <c r="O11" i="23"/>
  <c r="M29" i="14"/>
  <c r="I11" i="26"/>
  <c r="I11" i="24"/>
  <c r="O11" i="9"/>
  <c r="O11" i="21"/>
  <c r="O11" i="17"/>
  <c r="O11" i="5"/>
  <c r="O11" i="18"/>
  <c r="J11" i="12"/>
  <c r="O11" i="20"/>
  <c r="I11" i="13"/>
  <c r="I11" i="16"/>
  <c r="I11" i="22"/>
  <c r="I11" i="20"/>
  <c r="I11" i="8"/>
  <c r="F49" i="16"/>
  <c r="F49" i="7"/>
  <c r="K65" i="24"/>
  <c r="M29" i="10"/>
  <c r="G11" i="20"/>
  <c r="D58" i="22"/>
  <c r="E104" i="7"/>
  <c r="E121" i="7" s="1"/>
  <c r="H11" i="15"/>
  <c r="H13" i="24"/>
  <c r="G13" i="24"/>
  <c r="F11" i="20"/>
  <c r="H49" i="14"/>
  <c r="G11" i="26"/>
  <c r="G11" i="11"/>
  <c r="D29" i="10"/>
  <c r="F58" i="22"/>
  <c r="F59" i="12"/>
  <c r="I58" i="22"/>
  <c r="H58" i="22"/>
  <c r="K65" i="12"/>
  <c r="F49" i="10"/>
  <c r="G49" i="21"/>
  <c r="H49" i="5"/>
  <c r="H49" i="13"/>
  <c r="I48" i="17"/>
  <c r="I49" i="17" s="1"/>
  <c r="I58" i="26"/>
  <c r="F49" i="24"/>
  <c r="H11" i="19"/>
  <c r="E49" i="11"/>
  <c r="D44" i="34" s="1"/>
  <c r="H49" i="26"/>
  <c r="H11" i="16"/>
  <c r="H13" i="23"/>
  <c r="G49" i="5"/>
  <c r="E49" i="13"/>
  <c r="D45" i="34" s="1"/>
  <c r="F29" i="7"/>
  <c r="F11" i="9"/>
  <c r="F13" i="23"/>
  <c r="E104" i="18"/>
  <c r="E121" i="18" s="1"/>
  <c r="H58" i="26"/>
  <c r="I32" i="18"/>
  <c r="I43" i="18" s="1"/>
  <c r="D58" i="10"/>
  <c r="I65" i="25"/>
  <c r="F13" i="8"/>
  <c r="H58" i="10"/>
  <c r="H19" i="29"/>
  <c r="H11" i="22"/>
  <c r="F13" i="26"/>
  <c r="H11" i="17"/>
  <c r="F58" i="10"/>
  <c r="I58" i="10"/>
  <c r="H23" i="29"/>
  <c r="F11" i="11"/>
  <c r="H13" i="26"/>
  <c r="F13" i="18"/>
  <c r="F58" i="24"/>
  <c r="G13" i="21"/>
  <c r="E49" i="12"/>
  <c r="D32" i="34" s="1"/>
  <c r="E49" i="18"/>
  <c r="D36" i="34" s="1"/>
  <c r="G58" i="11"/>
  <c r="I58" i="24"/>
  <c r="I48" i="13"/>
  <c r="I49" i="13" s="1"/>
  <c r="G29" i="11"/>
  <c r="F13" i="21"/>
  <c r="H49" i="18"/>
  <c r="I58" i="11"/>
  <c r="M29" i="7"/>
  <c r="H13" i="8"/>
  <c r="H13" i="21"/>
  <c r="F11" i="17"/>
  <c r="F49" i="26"/>
  <c r="K65" i="23"/>
  <c r="H58" i="11"/>
  <c r="G23" i="29"/>
  <c r="H11" i="18"/>
  <c r="E29" i="21"/>
  <c r="C46" i="34" s="1"/>
  <c r="D58" i="24"/>
  <c r="H29" i="16"/>
  <c r="G13" i="20"/>
  <c r="F58" i="11"/>
  <c r="G58" i="26"/>
  <c r="F11" i="16"/>
  <c r="G11" i="25"/>
  <c r="H13" i="18"/>
  <c r="G13" i="8"/>
  <c r="H13" i="9"/>
  <c r="G11" i="17"/>
  <c r="D13" i="9"/>
  <c r="D29" i="9" s="1"/>
  <c r="F13" i="20"/>
  <c r="H11" i="9"/>
  <c r="H49" i="17"/>
  <c r="D58" i="26"/>
  <c r="I48" i="5"/>
  <c r="E49" i="22"/>
  <c r="D47" i="34" s="1"/>
  <c r="I65" i="16"/>
  <c r="E49" i="15"/>
  <c r="D37" i="34" s="1"/>
  <c r="F29" i="22"/>
  <c r="F11" i="10"/>
  <c r="G49" i="11"/>
  <c r="F49" i="8"/>
  <c r="G49" i="14"/>
  <c r="G49" i="9"/>
  <c r="G49" i="18"/>
  <c r="H58" i="24"/>
  <c r="H49" i="16"/>
  <c r="G49" i="23"/>
  <c r="H49" i="8"/>
  <c r="E49" i="26"/>
  <c r="D51" i="34" s="1"/>
  <c r="J65" i="17"/>
  <c r="F49" i="17"/>
  <c r="G49" i="13"/>
  <c r="G49" i="24"/>
  <c r="D121" i="17"/>
  <c r="F18" i="29"/>
  <c r="G29" i="22"/>
  <c r="D13" i="13"/>
  <c r="D29" i="13" s="1"/>
  <c r="D29" i="15"/>
  <c r="G13" i="18"/>
  <c r="F29" i="10"/>
  <c r="D29" i="21"/>
  <c r="E49" i="21"/>
  <c r="D46" i="34" s="1"/>
  <c r="E49" i="7"/>
  <c r="D40" i="34" s="1"/>
  <c r="F11" i="22"/>
  <c r="I65" i="10"/>
  <c r="C14" i="29"/>
  <c r="D13" i="25"/>
  <c r="D29" i="25" s="1"/>
  <c r="H13" i="25"/>
  <c r="F13" i="25"/>
  <c r="G13" i="25"/>
  <c r="E49" i="19"/>
  <c r="D35" i="34" s="1"/>
  <c r="I47" i="19"/>
  <c r="L48" i="12"/>
  <c r="H49" i="12"/>
  <c r="I32" i="14"/>
  <c r="I43" i="14" s="1"/>
  <c r="I66" i="29"/>
  <c r="N12" i="29"/>
  <c r="R12" i="29" s="1"/>
  <c r="L47" i="20"/>
  <c r="E49" i="23"/>
  <c r="D48" i="34" s="1"/>
  <c r="I47" i="23"/>
  <c r="C36" i="29"/>
  <c r="G27" i="30" s="1"/>
  <c r="E33" i="12"/>
  <c r="M33" i="12" s="1"/>
  <c r="D65" i="24"/>
  <c r="F49" i="14"/>
  <c r="G49" i="19"/>
  <c r="I49" i="9"/>
  <c r="F24" i="29"/>
  <c r="G21" i="29"/>
  <c r="I56" i="23"/>
  <c r="D56" i="23"/>
  <c r="F56" i="23"/>
  <c r="H56" i="23"/>
  <c r="G56" i="23"/>
  <c r="G51" i="29"/>
  <c r="G58" i="12"/>
  <c r="I58" i="12"/>
  <c r="F58" i="12"/>
  <c r="I47" i="8"/>
  <c r="E49" i="8"/>
  <c r="D41" i="34" s="1"/>
  <c r="J48" i="20"/>
  <c r="E49" i="24"/>
  <c r="D49" i="34" s="1"/>
  <c r="I47" i="24"/>
  <c r="H24" i="29"/>
  <c r="H55" i="5"/>
  <c r="I55" i="5"/>
  <c r="I58" i="29" s="1"/>
  <c r="G100" i="15"/>
  <c r="G104" i="15" s="1"/>
  <c r="C53" i="15" s="1"/>
  <c r="E53" i="15" s="1"/>
  <c r="E104" i="15"/>
  <c r="E121" i="15" s="1"/>
  <c r="E51" i="29"/>
  <c r="D51" i="29" s="1"/>
  <c r="E49" i="20"/>
  <c r="D34" i="34" s="1"/>
  <c r="F49" i="19"/>
  <c r="D29" i="19"/>
  <c r="H51" i="29"/>
  <c r="L65" i="11"/>
  <c r="G11" i="18"/>
  <c r="F13" i="5"/>
  <c r="F29" i="19"/>
  <c r="E29" i="20"/>
  <c r="C34" i="34" s="1"/>
  <c r="G49" i="16"/>
  <c r="K65" i="10"/>
  <c r="F21" i="29"/>
  <c r="I65" i="24"/>
  <c r="M29" i="16"/>
  <c r="E49" i="10"/>
  <c r="D43" i="34" s="1"/>
  <c r="I47" i="10"/>
  <c r="I49" i="10" s="1"/>
  <c r="I47" i="5"/>
  <c r="H49" i="11"/>
  <c r="I65" i="26"/>
  <c r="H21" i="29"/>
  <c r="D13" i="5"/>
  <c r="D29" i="5" s="1"/>
  <c r="F13" i="13"/>
  <c r="G29" i="17"/>
  <c r="H13" i="20"/>
  <c r="M29" i="15"/>
  <c r="G29" i="23"/>
  <c r="E49" i="9"/>
  <c r="D42" i="34" s="1"/>
  <c r="H11" i="10"/>
  <c r="H49" i="21"/>
  <c r="F49" i="11"/>
  <c r="H49" i="9"/>
  <c r="N29" i="24"/>
  <c r="H18" i="29"/>
  <c r="L48" i="7"/>
  <c r="G19" i="29"/>
  <c r="E29" i="5"/>
  <c r="C31" i="34" s="1"/>
  <c r="H29" i="15"/>
  <c r="H13" i="13"/>
  <c r="H29" i="10"/>
  <c r="G29" i="7"/>
  <c r="H29" i="17"/>
  <c r="K65" i="18"/>
  <c r="F19" i="29"/>
  <c r="G18" i="29"/>
  <c r="C35" i="29"/>
  <c r="G26" i="30" s="1"/>
  <c r="E32" i="12"/>
  <c r="M32" i="12" s="1"/>
  <c r="L37" i="29"/>
  <c r="K65" i="17"/>
  <c r="J11" i="29"/>
  <c r="I11" i="14"/>
  <c r="L49" i="19"/>
  <c r="L65" i="9"/>
  <c r="K65" i="7"/>
  <c r="L65" i="15"/>
  <c r="I11" i="11"/>
  <c r="J13" i="29"/>
  <c r="K65" i="8"/>
  <c r="I11" i="5"/>
  <c r="K65" i="21"/>
  <c r="L65" i="25"/>
  <c r="D29" i="26"/>
  <c r="M29" i="25"/>
  <c r="E52" i="34"/>
  <c r="M29" i="22"/>
  <c r="E29" i="13"/>
  <c r="C45" i="34" s="1"/>
  <c r="H29" i="11"/>
  <c r="D29" i="11"/>
  <c r="H30" i="29"/>
  <c r="G29" i="10"/>
  <c r="D29" i="16"/>
  <c r="M29" i="17"/>
  <c r="G29" i="29"/>
  <c r="H29" i="29"/>
  <c r="M29" i="19"/>
  <c r="G30" i="29"/>
  <c r="L65" i="18"/>
  <c r="I59" i="12"/>
  <c r="D59" i="12"/>
  <c r="H59" i="12"/>
  <c r="E58" i="17"/>
  <c r="C61" i="29"/>
  <c r="G48" i="30" s="1"/>
  <c r="D55" i="5"/>
  <c r="G55" i="5"/>
  <c r="I11" i="10"/>
  <c r="I11" i="17"/>
  <c r="I11" i="18"/>
  <c r="N29" i="22"/>
  <c r="O29" i="22"/>
  <c r="N29" i="11"/>
  <c r="O29" i="16"/>
  <c r="O29" i="10"/>
  <c r="O29" i="23"/>
  <c r="N29" i="16"/>
  <c r="K22" i="33"/>
  <c r="Z36" i="27" s="1"/>
  <c r="O29" i="11"/>
  <c r="K25" i="33"/>
  <c r="Z39" i="27" s="1"/>
  <c r="K21" i="33"/>
  <c r="Z35" i="27" s="1"/>
  <c r="N18" i="29"/>
  <c r="R18" i="29" s="1"/>
  <c r="H11" i="13"/>
  <c r="O11" i="11"/>
  <c r="G11" i="9"/>
  <c r="J37" i="29"/>
  <c r="L65" i="22"/>
  <c r="L65" i="21"/>
  <c r="L65" i="12"/>
  <c r="L65" i="17"/>
  <c r="L65" i="24"/>
  <c r="K65" i="11"/>
  <c r="K65" i="15"/>
  <c r="K65" i="22"/>
  <c r="K65" i="13"/>
  <c r="I49" i="29"/>
  <c r="J29" i="18"/>
  <c r="I63" i="29"/>
  <c r="I11" i="23"/>
  <c r="N29" i="19"/>
  <c r="N29" i="7"/>
  <c r="J49" i="24"/>
  <c r="G13" i="5"/>
  <c r="E29" i="26"/>
  <c r="C51" i="34" s="1"/>
  <c r="D13" i="23"/>
  <c r="D29" i="23" s="1"/>
  <c r="G29" i="16"/>
  <c r="E29" i="22"/>
  <c r="C47" i="34" s="1"/>
  <c r="C32" i="29"/>
  <c r="H49" i="22"/>
  <c r="F49" i="21"/>
  <c r="G49" i="17"/>
  <c r="F49" i="13"/>
  <c r="J21" i="33"/>
  <c r="Y32" i="27" s="1"/>
  <c r="K65" i="16"/>
  <c r="I11" i="21"/>
  <c r="E29" i="29"/>
  <c r="D29" i="29" s="1"/>
  <c r="N29" i="17"/>
  <c r="M29" i="12"/>
  <c r="G24" i="29"/>
  <c r="H8" i="24"/>
  <c r="H11" i="24" s="1"/>
  <c r="G8" i="24"/>
  <c r="G11" i="29" s="1"/>
  <c r="F8" i="24"/>
  <c r="F11" i="24" s="1"/>
  <c r="G29" i="15"/>
  <c r="F29" i="16"/>
  <c r="K66" i="29"/>
  <c r="M19" i="29"/>
  <c r="Q19" i="29" s="1"/>
  <c r="E29" i="24"/>
  <c r="C49" i="34" s="1"/>
  <c r="M10" i="29"/>
  <c r="Q10" i="29" s="1"/>
  <c r="P37" i="29"/>
  <c r="T37" i="29" s="1"/>
  <c r="X32" i="27"/>
  <c r="L65" i="8"/>
  <c r="H29" i="19"/>
  <c r="F26" i="29"/>
  <c r="J19" i="33"/>
  <c r="J17" i="33"/>
  <c r="O29" i="7"/>
  <c r="D29" i="8"/>
  <c r="G13" i="26"/>
  <c r="E29" i="11"/>
  <c r="C44" i="34" s="1"/>
  <c r="E29" i="7"/>
  <c r="C40" i="34" s="1"/>
  <c r="E29" i="18"/>
  <c r="C36" i="34" s="1"/>
  <c r="G29" i="19"/>
  <c r="G13" i="9"/>
  <c r="F29" i="17"/>
  <c r="D29" i="20"/>
  <c r="F11" i="25"/>
  <c r="H26" i="29"/>
  <c r="H49" i="24"/>
  <c r="G49" i="22"/>
  <c r="F49" i="20"/>
  <c r="L19" i="33"/>
  <c r="AA25" i="27" s="1"/>
  <c r="K65" i="25"/>
  <c r="K65" i="26"/>
  <c r="L65" i="10"/>
  <c r="I11" i="9"/>
  <c r="D58" i="12"/>
  <c r="O29" i="17"/>
  <c r="I9" i="29"/>
  <c r="L22" i="33"/>
  <c r="AA36" i="27" s="1"/>
  <c r="N29" i="15"/>
  <c r="H11" i="25"/>
  <c r="O29" i="15"/>
  <c r="E16" i="29"/>
  <c r="D16" i="29" s="1"/>
  <c r="H29" i="7"/>
  <c r="F13" i="9"/>
  <c r="H11" i="26"/>
  <c r="H49" i="23"/>
  <c r="F49" i="22"/>
  <c r="P66" i="29"/>
  <c r="T66" i="29" s="1"/>
  <c r="E104" i="21"/>
  <c r="E121" i="21" s="1"/>
  <c r="E30" i="29"/>
  <c r="D30" i="29" s="1"/>
  <c r="G49" i="7"/>
  <c r="X27" i="27"/>
  <c r="K65" i="9"/>
  <c r="I11" i="7"/>
  <c r="H58" i="12"/>
  <c r="N29" i="10"/>
  <c r="P24" i="29"/>
  <c r="T24" i="29" s="1"/>
  <c r="O13" i="29"/>
  <c r="S13" i="29" s="1"/>
  <c r="F9" i="14"/>
  <c r="E12" i="29"/>
  <c r="E14" i="29" s="1"/>
  <c r="H9" i="14"/>
  <c r="G9" i="14"/>
  <c r="H9" i="21"/>
  <c r="H11" i="21" s="1"/>
  <c r="E11" i="21"/>
  <c r="B46" i="34" s="1"/>
  <c r="F9" i="21"/>
  <c r="F11" i="21" s="1"/>
  <c r="G9" i="21"/>
  <c r="G11" i="21" s="1"/>
  <c r="J49" i="23"/>
  <c r="E11" i="24"/>
  <c r="B49" i="34" s="1"/>
  <c r="F29" i="24"/>
  <c r="E29" i="23"/>
  <c r="C48" i="34" s="1"/>
  <c r="D29" i="18"/>
  <c r="O10" i="29"/>
  <c r="S10" i="29" s="1"/>
  <c r="M28" i="29"/>
  <c r="Q28" i="29" s="1"/>
  <c r="E29" i="8"/>
  <c r="C41" i="34" s="1"/>
  <c r="J25" i="33"/>
  <c r="Y39" i="27" s="1"/>
  <c r="J22" i="33"/>
  <c r="Y36" i="27" s="1"/>
  <c r="F29" i="15"/>
  <c r="F29" i="11"/>
  <c r="D29" i="7"/>
  <c r="E29" i="25"/>
  <c r="C50" i="34" s="1"/>
  <c r="D29" i="17"/>
  <c r="H49" i="25"/>
  <c r="G104" i="21"/>
  <c r="C53" i="21" s="1"/>
  <c r="E53" i="21" s="1"/>
  <c r="J9" i="29"/>
  <c r="L65" i="16"/>
  <c r="O38" i="29"/>
  <c r="S38" i="29" s="1"/>
  <c r="E11" i="14"/>
  <c r="B33" i="34" s="1"/>
  <c r="K29" i="17"/>
  <c r="L65" i="26"/>
  <c r="L65" i="23"/>
  <c r="L65" i="7"/>
  <c r="I65" i="5"/>
  <c r="L29" i="17"/>
  <c r="K29" i="12"/>
  <c r="J49" i="29"/>
  <c r="L49" i="29"/>
  <c r="H49" i="20"/>
  <c r="O23" i="29"/>
  <c r="S23" i="29" s="1"/>
  <c r="O49" i="29"/>
  <c r="F11" i="12"/>
  <c r="N29" i="29"/>
  <c r="R29" i="29" s="1"/>
  <c r="O28" i="29"/>
  <c r="S28" i="29" s="1"/>
  <c r="O29" i="19"/>
  <c r="O19" i="29"/>
  <c r="S19" i="29" s="1"/>
  <c r="N24" i="29"/>
  <c r="R24" i="29" s="1"/>
  <c r="F9" i="29"/>
  <c r="D58" i="23"/>
  <c r="G58" i="23"/>
  <c r="H58" i="23"/>
  <c r="I58" i="23"/>
  <c r="F58" i="23"/>
  <c r="C59" i="29"/>
  <c r="G46" i="30" s="1"/>
  <c r="E104" i="26"/>
  <c r="E121" i="26" s="1"/>
  <c r="G100" i="26"/>
  <c r="G104" i="26" s="1"/>
  <c r="G97" i="25"/>
  <c r="E104" i="25"/>
  <c r="E121" i="25" s="1"/>
  <c r="G100" i="25"/>
  <c r="G104" i="25" s="1"/>
  <c r="C53" i="25" s="1"/>
  <c r="E53" i="25" s="1"/>
  <c r="G97" i="24"/>
  <c r="E104" i="24"/>
  <c r="E121" i="24" s="1"/>
  <c r="G100" i="24"/>
  <c r="G104" i="24" s="1"/>
  <c r="C53" i="24" s="1"/>
  <c r="G97" i="23"/>
  <c r="C52" i="23" s="1"/>
  <c r="E104" i="23"/>
  <c r="E121" i="23" s="1"/>
  <c r="G100" i="23"/>
  <c r="G97" i="5"/>
  <c r="C52" i="5" s="1"/>
  <c r="E104" i="5"/>
  <c r="E121" i="5" s="1"/>
  <c r="G100" i="5"/>
  <c r="G104" i="5" s="1"/>
  <c r="J54" i="12"/>
  <c r="L54" i="12"/>
  <c r="G95" i="12"/>
  <c r="K49" i="22"/>
  <c r="F10" i="29"/>
  <c r="K29" i="21"/>
  <c r="I45" i="29"/>
  <c r="J43" i="29"/>
  <c r="E121" i="17"/>
  <c r="J29" i="17"/>
  <c r="G10" i="29"/>
  <c r="H10" i="29"/>
  <c r="H9" i="29"/>
  <c r="H57" i="12"/>
  <c r="F57" i="12"/>
  <c r="D57" i="12"/>
  <c r="G57" i="12"/>
  <c r="J29" i="21"/>
  <c r="L29" i="21"/>
  <c r="AA26" i="27"/>
  <c r="Z26" i="27"/>
  <c r="Z25" i="27"/>
  <c r="Z32" i="27"/>
  <c r="Z27" i="27"/>
  <c r="Z20" i="27"/>
  <c r="Z15" i="27"/>
  <c r="Z19" i="27"/>
  <c r="Z21" i="27"/>
  <c r="Z18" i="27"/>
  <c r="Z14" i="27"/>
  <c r="AA21" i="27"/>
  <c r="AA18" i="27"/>
  <c r="AA15" i="27"/>
  <c r="D66" i="29"/>
  <c r="D54" i="15"/>
  <c r="I54" i="15"/>
  <c r="G54" i="15"/>
  <c r="O54" i="15" s="1"/>
  <c r="F54" i="15"/>
  <c r="N54" i="15" s="1"/>
  <c r="H54" i="15"/>
  <c r="P54" i="15" s="1"/>
  <c r="K65" i="5"/>
  <c r="K37" i="29"/>
  <c r="BI30" i="27"/>
  <c r="BK30" i="27"/>
  <c r="BJ30" i="27"/>
  <c r="BH30" i="27"/>
  <c r="I29" i="5"/>
  <c r="I16" i="29"/>
  <c r="K29" i="5"/>
  <c r="K16" i="29"/>
  <c r="K49" i="29"/>
  <c r="K49" i="5"/>
  <c r="I41" i="29"/>
  <c r="J29" i="29"/>
  <c r="K10" i="29"/>
  <c r="K18" i="29"/>
  <c r="K20" i="29"/>
  <c r="K22" i="29"/>
  <c r="K24" i="29"/>
  <c r="K30" i="29"/>
  <c r="K36" i="29"/>
  <c r="K38" i="29"/>
  <c r="K42" i="29"/>
  <c r="K44" i="29"/>
  <c r="L25" i="29"/>
  <c r="L31" i="29"/>
  <c r="L41" i="29"/>
  <c r="J11" i="21"/>
  <c r="J11" i="25"/>
  <c r="J11" i="23"/>
  <c r="J11" i="7"/>
  <c r="J11" i="26"/>
  <c r="J11" i="22"/>
  <c r="J11" i="10"/>
  <c r="J11" i="16"/>
  <c r="J11" i="19"/>
  <c r="J29" i="13"/>
  <c r="J29" i="24"/>
  <c r="J29" i="14"/>
  <c r="J29" i="26"/>
  <c r="J29" i="10"/>
  <c r="J29" i="19"/>
  <c r="J29" i="25"/>
  <c r="J29" i="9"/>
  <c r="J29" i="20"/>
  <c r="L29" i="26"/>
  <c r="L29" i="19"/>
  <c r="L29" i="16"/>
  <c r="L29" i="13"/>
  <c r="L29" i="15"/>
  <c r="L29" i="25"/>
  <c r="L29" i="9"/>
  <c r="L29" i="20"/>
  <c r="K11" i="9"/>
  <c r="K11" i="17"/>
  <c r="K11" i="23"/>
  <c r="K11" i="7"/>
  <c r="K11" i="26"/>
  <c r="K11" i="22"/>
  <c r="K11" i="10"/>
  <c r="K11" i="16"/>
  <c r="K11" i="19"/>
  <c r="K11" i="12"/>
  <c r="K23" i="33"/>
  <c r="Z38" i="27" s="1"/>
  <c r="J23" i="33"/>
  <c r="Y38" i="27" s="1"/>
  <c r="K20" i="33"/>
  <c r="Z34" i="27" s="1"/>
  <c r="L24" i="33"/>
  <c r="AA37" i="27" s="1"/>
  <c r="J18" i="33"/>
  <c r="J16" i="33"/>
  <c r="I10" i="29"/>
  <c r="I38" i="29"/>
  <c r="I42" i="29"/>
  <c r="J18" i="29"/>
  <c r="J22" i="29"/>
  <c r="J28" i="29"/>
  <c r="J36" i="29"/>
  <c r="J42" i="29"/>
  <c r="K13" i="29"/>
  <c r="K21" i="29"/>
  <c r="K25" i="29"/>
  <c r="K31" i="29"/>
  <c r="K41" i="29"/>
  <c r="K45" i="29"/>
  <c r="L20" i="29"/>
  <c r="L24" i="29"/>
  <c r="L30" i="29"/>
  <c r="L38" i="29"/>
  <c r="L44" i="29"/>
  <c r="L65" i="13"/>
  <c r="K29" i="24"/>
  <c r="K29" i="14"/>
  <c r="K29" i="15"/>
  <c r="K29" i="22"/>
  <c r="K29" i="16"/>
  <c r="K29" i="25"/>
  <c r="K29" i="9"/>
  <c r="K29" i="20"/>
  <c r="K49" i="19"/>
  <c r="K49" i="7"/>
  <c r="J65" i="11"/>
  <c r="J65" i="7"/>
  <c r="J65" i="21"/>
  <c r="J65" i="26"/>
  <c r="J65" i="22"/>
  <c r="J65" i="10"/>
  <c r="J65" i="16"/>
  <c r="J10" i="29"/>
  <c r="Y26" i="27"/>
  <c r="Y25" i="27"/>
  <c r="L26" i="33"/>
  <c r="AA30" i="27" s="1"/>
  <c r="X30" i="27"/>
  <c r="Y15" i="27"/>
  <c r="Y19" i="27"/>
  <c r="Y21" i="27"/>
  <c r="Y14" i="27"/>
  <c r="Y18" i="27"/>
  <c r="Y20" i="27"/>
  <c r="J29" i="5"/>
  <c r="J16" i="29"/>
  <c r="L16" i="29"/>
  <c r="L29" i="5"/>
  <c r="L65" i="5"/>
  <c r="L66" i="29"/>
  <c r="K9" i="29"/>
  <c r="K11" i="20"/>
  <c r="H57" i="17"/>
  <c r="D57" i="17"/>
  <c r="F57" i="17"/>
  <c r="G57" i="17"/>
  <c r="I37" i="29"/>
  <c r="F13" i="12"/>
  <c r="H13" i="12"/>
  <c r="D13" i="12"/>
  <c r="D29" i="12" s="1"/>
  <c r="G13" i="12"/>
  <c r="E29" i="12"/>
  <c r="C32" i="34" s="1"/>
  <c r="L21" i="33"/>
  <c r="I43" i="29"/>
  <c r="J19" i="29"/>
  <c r="J21" i="29"/>
  <c r="J23" i="29"/>
  <c r="J25" i="29"/>
  <c r="J31" i="29"/>
  <c r="J41" i="29"/>
  <c r="J45" i="29"/>
  <c r="K12" i="29"/>
  <c r="K28" i="29"/>
  <c r="L19" i="29"/>
  <c r="L21" i="29"/>
  <c r="L23" i="29"/>
  <c r="L29" i="29"/>
  <c r="L43" i="29"/>
  <c r="L45" i="29"/>
  <c r="J11" i="9"/>
  <c r="J11" i="17"/>
  <c r="J11" i="20"/>
  <c r="J11" i="11"/>
  <c r="J11" i="18"/>
  <c r="J11" i="24"/>
  <c r="J11" i="13"/>
  <c r="J11" i="8"/>
  <c r="J11" i="15"/>
  <c r="J11" i="14"/>
  <c r="J29" i="8"/>
  <c r="J29" i="15"/>
  <c r="J29" i="22"/>
  <c r="J29" i="16"/>
  <c r="J29" i="23"/>
  <c r="J29" i="11"/>
  <c r="J29" i="7"/>
  <c r="L29" i="22"/>
  <c r="L29" i="10"/>
  <c r="L29" i="24"/>
  <c r="L29" i="8"/>
  <c r="L29" i="14"/>
  <c r="L29" i="23"/>
  <c r="L29" i="11"/>
  <c r="L29" i="7"/>
  <c r="L29" i="18"/>
  <c r="K11" i="25"/>
  <c r="K11" i="21"/>
  <c r="K11" i="11"/>
  <c r="K11" i="18"/>
  <c r="K11" i="24"/>
  <c r="K11" i="13"/>
  <c r="K11" i="8"/>
  <c r="K11" i="15"/>
  <c r="K11" i="14"/>
  <c r="K11" i="5"/>
  <c r="L23" i="33"/>
  <c r="AA38" i="27" s="1"/>
  <c r="J20" i="33"/>
  <c r="Y34" i="27" s="1"/>
  <c r="K24" i="33"/>
  <c r="Z37" i="27" s="1"/>
  <c r="J24" i="33"/>
  <c r="Y37" i="27" s="1"/>
  <c r="K18" i="33"/>
  <c r="L18" i="33"/>
  <c r="K16" i="33"/>
  <c r="I44" i="29"/>
  <c r="J20" i="29"/>
  <c r="J24" i="29"/>
  <c r="J30" i="29"/>
  <c r="J38" i="29"/>
  <c r="J44" i="29"/>
  <c r="K11" i="29"/>
  <c r="K19" i="29"/>
  <c r="K23" i="29"/>
  <c r="K29" i="29"/>
  <c r="K43" i="29"/>
  <c r="L18" i="29"/>
  <c r="L22" i="29"/>
  <c r="L28" i="29"/>
  <c r="L36" i="29"/>
  <c r="L42" i="29"/>
  <c r="K29" i="8"/>
  <c r="K29" i="13"/>
  <c r="K29" i="26"/>
  <c r="K29" i="10"/>
  <c r="K29" i="19"/>
  <c r="K29" i="23"/>
  <c r="K29" i="11"/>
  <c r="K29" i="7"/>
  <c r="K29" i="18"/>
  <c r="K49" i="24"/>
  <c r="J65" i="18"/>
  <c r="J65" i="23"/>
  <c r="J65" i="25"/>
  <c r="J65" i="9"/>
  <c r="J65" i="24"/>
  <c r="J65" i="13"/>
  <c r="J65" i="8"/>
  <c r="J65" i="15"/>
  <c r="J65" i="12"/>
  <c r="C52" i="8"/>
  <c r="C52" i="21"/>
  <c r="N93" i="49" s="1"/>
  <c r="O93" i="49" s="1"/>
  <c r="P93" i="49" s="1"/>
  <c r="G121" i="11"/>
  <c r="C52" i="11"/>
  <c r="N91" i="49" s="1"/>
  <c r="O91" i="49" s="1"/>
  <c r="P91" i="49" s="1"/>
  <c r="C52" i="7"/>
  <c r="G121" i="17"/>
  <c r="C52" i="17"/>
  <c r="N85" i="49" s="1"/>
  <c r="O85" i="49" s="1"/>
  <c r="P85" i="49" s="1"/>
  <c r="G121" i="18"/>
  <c r="C52" i="18"/>
  <c r="N83" i="49" s="1"/>
  <c r="O83" i="49" s="1"/>
  <c r="P83" i="49" s="1"/>
  <c r="C52" i="20"/>
  <c r="D43" i="29"/>
  <c r="F58" i="20"/>
  <c r="N58" i="20" s="1"/>
  <c r="G58" i="20"/>
  <c r="O58" i="20" s="1"/>
  <c r="H58" i="20"/>
  <c r="P58" i="20" s="1"/>
  <c r="D58" i="20"/>
  <c r="I58" i="20"/>
  <c r="E52" i="10"/>
  <c r="M52" i="10" s="1"/>
  <c r="G57" i="22"/>
  <c r="D57" i="22"/>
  <c r="F57" i="22"/>
  <c r="H57" i="22"/>
  <c r="G57" i="8"/>
  <c r="D57" i="8"/>
  <c r="F57" i="8"/>
  <c r="H57" i="8"/>
  <c r="E52" i="26"/>
  <c r="M52" i="26" s="1"/>
  <c r="C57" i="14"/>
  <c r="G100" i="13"/>
  <c r="G104" i="13" s="1"/>
  <c r="E104" i="13"/>
  <c r="G100" i="10"/>
  <c r="G104" i="10" s="1"/>
  <c r="E104" i="10"/>
  <c r="G100" i="9"/>
  <c r="G104" i="9" s="1"/>
  <c r="E104" i="9"/>
  <c r="G100" i="8"/>
  <c r="G104" i="8" s="1"/>
  <c r="C53" i="8" s="1"/>
  <c r="E53" i="8" s="1"/>
  <c r="E104" i="8"/>
  <c r="E121" i="8" s="1"/>
  <c r="D53" i="18"/>
  <c r="H53" i="18"/>
  <c r="G53" i="18"/>
  <c r="F53" i="18"/>
  <c r="G53" i="19"/>
  <c r="H53" i="19"/>
  <c r="D53" i="19"/>
  <c r="F53" i="19"/>
  <c r="D53" i="20"/>
  <c r="H53" i="20"/>
  <c r="G53" i="20"/>
  <c r="F53" i="20"/>
  <c r="G100" i="14"/>
  <c r="G104" i="14" s="1"/>
  <c r="E104" i="14"/>
  <c r="E121" i="14" s="1"/>
  <c r="G49" i="15"/>
  <c r="G49" i="29"/>
  <c r="J29" i="12"/>
  <c r="J26" i="29"/>
  <c r="G57" i="16"/>
  <c r="D57" i="16"/>
  <c r="F57" i="16"/>
  <c r="H57" i="16"/>
  <c r="G57" i="19"/>
  <c r="D57" i="19"/>
  <c r="F57" i="19"/>
  <c r="H57" i="19"/>
  <c r="G53" i="22"/>
  <c r="F53" i="22"/>
  <c r="D53" i="22"/>
  <c r="H53" i="22"/>
  <c r="D53" i="11"/>
  <c r="F53" i="11"/>
  <c r="G53" i="11"/>
  <c r="H53" i="11"/>
  <c r="F55" i="12"/>
  <c r="N55" i="12" s="1"/>
  <c r="H55" i="12"/>
  <c r="P55" i="12" s="1"/>
  <c r="D55" i="12"/>
  <c r="G55" i="12"/>
  <c r="E58" i="29"/>
  <c r="D58" i="29" s="1"/>
  <c r="D56" i="5"/>
  <c r="F56" i="5"/>
  <c r="N56" i="5" s="1"/>
  <c r="H56" i="5"/>
  <c r="P56" i="5" s="1"/>
  <c r="G56" i="5"/>
  <c r="O56" i="5" s="1"/>
  <c r="E59" i="29"/>
  <c r="D59" i="29" s="1"/>
  <c r="E53" i="5"/>
  <c r="E52" i="16"/>
  <c r="M52" i="16" s="1"/>
  <c r="C61" i="16"/>
  <c r="C67" i="16" s="1"/>
  <c r="I13" i="49" s="1"/>
  <c r="E52" i="19"/>
  <c r="M52" i="19" s="1"/>
  <c r="C61" i="19"/>
  <c r="G11" i="12"/>
  <c r="H11" i="12"/>
  <c r="C52" i="15"/>
  <c r="N84" i="49" s="1"/>
  <c r="E57" i="24"/>
  <c r="C57" i="13"/>
  <c r="E57" i="13" s="1"/>
  <c r="C57" i="10"/>
  <c r="E57" i="10" s="1"/>
  <c r="L29" i="12"/>
  <c r="L26" i="29"/>
  <c r="C57" i="21"/>
  <c r="E57" i="21" s="1"/>
  <c r="C57" i="9"/>
  <c r="E57" i="9" s="1"/>
  <c r="C57" i="7"/>
  <c r="E57" i="7" s="1"/>
  <c r="C57" i="20"/>
  <c r="E57" i="20" s="1"/>
  <c r="G57" i="15"/>
  <c r="D57" i="15"/>
  <c r="F57" i="15"/>
  <c r="H57" i="15"/>
  <c r="G53" i="7"/>
  <c r="F53" i="7"/>
  <c r="D53" i="7"/>
  <c r="H53" i="7"/>
  <c r="D53" i="16"/>
  <c r="H53" i="16"/>
  <c r="G53" i="16"/>
  <c r="F53" i="16"/>
  <c r="G53" i="17"/>
  <c r="H53" i="17"/>
  <c r="D53" i="17"/>
  <c r="F53" i="17"/>
  <c r="D59" i="5"/>
  <c r="G59" i="5"/>
  <c r="O59" i="5" s="1"/>
  <c r="E62" i="29"/>
  <c r="D62" i="29" s="1"/>
  <c r="I59" i="5"/>
  <c r="F59" i="5"/>
  <c r="N59" i="5" s="1"/>
  <c r="H59" i="5"/>
  <c r="P59" i="5" s="1"/>
  <c r="C52" i="22"/>
  <c r="N94" i="49" s="1"/>
  <c r="O94" i="49" s="1"/>
  <c r="P94" i="49" s="1"/>
  <c r="G121" i="22"/>
  <c r="E52" i="13"/>
  <c r="M52" i="13" s="1"/>
  <c r="E52" i="14"/>
  <c r="M52" i="14" s="1"/>
  <c r="D49" i="29"/>
  <c r="H49" i="15"/>
  <c r="H49" i="29"/>
  <c r="F49" i="29"/>
  <c r="F49" i="15"/>
  <c r="E121" i="20"/>
  <c r="D121" i="13"/>
  <c r="D121" i="10"/>
  <c r="D121" i="9"/>
  <c r="D121" i="14"/>
  <c r="G121" i="16"/>
  <c r="G121" i="19"/>
  <c r="B32" i="34"/>
  <c r="G9" i="29"/>
  <c r="G13" i="14"/>
  <c r="H13" i="14"/>
  <c r="F13" i="14"/>
  <c r="D13" i="14"/>
  <c r="D29" i="14" s="1"/>
  <c r="E29" i="14"/>
  <c r="C6" i="34"/>
  <c r="F11" i="5"/>
  <c r="G11" i="5"/>
  <c r="H11" i="5"/>
  <c r="B31" i="34"/>
  <c r="P49" i="11" l="1"/>
  <c r="I49" i="21"/>
  <c r="D47" i="5"/>
  <c r="D49" i="5" s="1"/>
  <c r="C52" i="29"/>
  <c r="P49" i="5"/>
  <c r="E49" i="5"/>
  <c r="D31" i="34" s="1"/>
  <c r="K5" i="30"/>
  <c r="J18" i="30"/>
  <c r="K18" i="30" s="1"/>
  <c r="J32" i="30"/>
  <c r="K32" i="30" s="1"/>
  <c r="J6" i="30"/>
  <c r="K6" i="30" s="1"/>
  <c r="J23" i="30"/>
  <c r="K23" i="30" s="1"/>
  <c r="J45" i="30"/>
  <c r="K45" i="30" s="1"/>
  <c r="H39" i="30"/>
  <c r="I39" i="30" s="1"/>
  <c r="K35" i="30"/>
  <c r="J34" i="30"/>
  <c r="K34" i="30" s="1"/>
  <c r="I22" i="30"/>
  <c r="J22" i="30" s="1"/>
  <c r="K22" i="30" s="1"/>
  <c r="I33" i="30"/>
  <c r="I36" i="30"/>
  <c r="J31" i="30"/>
  <c r="K31" i="30" s="1"/>
  <c r="K15" i="30"/>
  <c r="K49" i="30"/>
  <c r="H46" i="30"/>
  <c r="I46" i="30" s="1"/>
  <c r="J46" i="30" s="1"/>
  <c r="H48" i="30"/>
  <c r="I48" i="30" s="1"/>
  <c r="J40" i="30"/>
  <c r="K40" i="30" s="1"/>
  <c r="M49" i="5"/>
  <c r="O49" i="13"/>
  <c r="Q5" i="45"/>
  <c r="H27" i="30"/>
  <c r="H26" i="30"/>
  <c r="I26" i="30" s="1"/>
  <c r="J49" i="22"/>
  <c r="N49" i="7"/>
  <c r="O49" i="18"/>
  <c r="M43" i="20"/>
  <c r="L49" i="23"/>
  <c r="O49" i="19"/>
  <c r="L49" i="16"/>
  <c r="J49" i="13"/>
  <c r="I49" i="11"/>
  <c r="O49" i="9"/>
  <c r="J49" i="17"/>
  <c r="J49" i="14"/>
  <c r="P49" i="9"/>
  <c r="L49" i="13"/>
  <c r="I49" i="20"/>
  <c r="M61" i="16"/>
  <c r="M67" i="16" s="1"/>
  <c r="P49" i="24"/>
  <c r="P49" i="23"/>
  <c r="M49" i="22"/>
  <c r="M43" i="15"/>
  <c r="M49" i="18"/>
  <c r="M49" i="20"/>
  <c r="O49" i="5"/>
  <c r="K52" i="9"/>
  <c r="K49" i="11"/>
  <c r="O49" i="24"/>
  <c r="M61" i="19"/>
  <c r="N49" i="11"/>
  <c r="P49" i="16"/>
  <c r="N49" i="13"/>
  <c r="P49" i="21"/>
  <c r="O49" i="22"/>
  <c r="I49" i="7"/>
  <c r="M49" i="7"/>
  <c r="P49" i="17"/>
  <c r="M43" i="12"/>
  <c r="H50" i="29"/>
  <c r="H52" i="29" s="1"/>
  <c r="O49" i="17"/>
  <c r="O49" i="23"/>
  <c r="I59" i="29"/>
  <c r="M49" i="26"/>
  <c r="L52" i="9"/>
  <c r="H29" i="5"/>
  <c r="M43" i="10"/>
  <c r="N25" i="29"/>
  <c r="R25" i="29" s="1"/>
  <c r="N49" i="19"/>
  <c r="O51" i="29"/>
  <c r="S51" i="29" s="1"/>
  <c r="E50" i="29"/>
  <c r="D50" i="29" s="1"/>
  <c r="D52" i="29" s="1"/>
  <c r="N49" i="22"/>
  <c r="M51" i="29"/>
  <c r="Q51" i="29" s="1"/>
  <c r="F25" i="29"/>
  <c r="I49" i="8"/>
  <c r="N49" i="17"/>
  <c r="P51" i="29"/>
  <c r="T51" i="29" s="1"/>
  <c r="J49" i="8"/>
  <c r="M49" i="11"/>
  <c r="I49" i="24"/>
  <c r="L49" i="12"/>
  <c r="N49" i="15"/>
  <c r="O49" i="14"/>
  <c r="H29" i="22"/>
  <c r="I49" i="19"/>
  <c r="J49" i="26"/>
  <c r="K51" i="29"/>
  <c r="L53" i="17"/>
  <c r="P53" i="17"/>
  <c r="J53" i="7"/>
  <c r="N53" i="7"/>
  <c r="J53" i="17"/>
  <c r="N53" i="17"/>
  <c r="J53" i="16"/>
  <c r="N53" i="16"/>
  <c r="L53" i="7"/>
  <c r="P53" i="7"/>
  <c r="L57" i="15"/>
  <c r="P57" i="15"/>
  <c r="I57" i="20"/>
  <c r="M57" i="20"/>
  <c r="I57" i="24"/>
  <c r="M57" i="24"/>
  <c r="I53" i="5"/>
  <c r="M53" i="5"/>
  <c r="K53" i="11"/>
  <c r="O53" i="11"/>
  <c r="J57" i="19"/>
  <c r="N57" i="19"/>
  <c r="J57" i="16"/>
  <c r="N57" i="16"/>
  <c r="K53" i="19"/>
  <c r="O53" i="19"/>
  <c r="J57" i="8"/>
  <c r="N57" i="8"/>
  <c r="J57" i="22"/>
  <c r="N57" i="22"/>
  <c r="L57" i="17"/>
  <c r="P57" i="17"/>
  <c r="L57" i="12"/>
  <c r="P57" i="12"/>
  <c r="L58" i="23"/>
  <c r="P58" i="23"/>
  <c r="J58" i="12"/>
  <c r="N58" i="12"/>
  <c r="K56" i="23"/>
  <c r="O56" i="23"/>
  <c r="O59" i="29" s="1"/>
  <c r="S59" i="29" s="1"/>
  <c r="J58" i="24"/>
  <c r="N58" i="24"/>
  <c r="L58" i="10"/>
  <c r="P58" i="10"/>
  <c r="J58" i="22"/>
  <c r="N58" i="22"/>
  <c r="D32" i="16"/>
  <c r="M32" i="16"/>
  <c r="M43" i="16" s="1"/>
  <c r="L32" i="16"/>
  <c r="L43" i="16" s="1"/>
  <c r="P32" i="16"/>
  <c r="P43" i="16" s="1"/>
  <c r="J32" i="8"/>
  <c r="J43" i="8" s="1"/>
  <c r="N32" i="8"/>
  <c r="N43" i="8" s="1"/>
  <c r="J32" i="14"/>
  <c r="J43" i="14" s="1"/>
  <c r="N32" i="14"/>
  <c r="J32" i="26"/>
  <c r="J43" i="26" s="1"/>
  <c r="N32" i="26"/>
  <c r="N43" i="26" s="1"/>
  <c r="D32" i="9"/>
  <c r="M32" i="9"/>
  <c r="M43" i="9" s="1"/>
  <c r="D32" i="26"/>
  <c r="M32" i="26"/>
  <c r="M43" i="26" s="1"/>
  <c r="L32" i="24"/>
  <c r="L43" i="24" s="1"/>
  <c r="P32" i="24"/>
  <c r="P43" i="24" s="1"/>
  <c r="L32" i="8"/>
  <c r="L43" i="8" s="1"/>
  <c r="P32" i="8"/>
  <c r="P43" i="8" s="1"/>
  <c r="D32" i="17"/>
  <c r="M32" i="17"/>
  <c r="M43" i="17" s="1"/>
  <c r="D32" i="18"/>
  <c r="M32" i="18"/>
  <c r="M43" i="18" s="1"/>
  <c r="L32" i="23"/>
  <c r="L43" i="23" s="1"/>
  <c r="P32" i="23"/>
  <c r="P43" i="23" s="1"/>
  <c r="J32" i="13"/>
  <c r="J43" i="13" s="1"/>
  <c r="N32" i="13"/>
  <c r="N43" i="13" s="1"/>
  <c r="K32" i="15"/>
  <c r="K43" i="15" s="1"/>
  <c r="O32" i="15"/>
  <c r="O43" i="15" s="1"/>
  <c r="L32" i="13"/>
  <c r="L43" i="13" s="1"/>
  <c r="P32" i="13"/>
  <c r="P43" i="13" s="1"/>
  <c r="L32" i="17"/>
  <c r="L43" i="17" s="1"/>
  <c r="P32" i="17"/>
  <c r="P43" i="17" s="1"/>
  <c r="J32" i="23"/>
  <c r="J43" i="23" s="1"/>
  <c r="N32" i="23"/>
  <c r="N43" i="23" s="1"/>
  <c r="J32" i="16"/>
  <c r="J43" i="16" s="1"/>
  <c r="N32" i="16"/>
  <c r="N43" i="16" s="1"/>
  <c r="O32" i="10"/>
  <c r="O43" i="10" s="1"/>
  <c r="K32" i="10"/>
  <c r="K43" i="10" s="1"/>
  <c r="K32" i="21"/>
  <c r="K43" i="21" s="1"/>
  <c r="O32" i="21"/>
  <c r="O43" i="21" s="1"/>
  <c r="L32" i="22"/>
  <c r="L43" i="22" s="1"/>
  <c r="P32" i="22"/>
  <c r="P43" i="22" s="1"/>
  <c r="K21" i="52"/>
  <c r="I21" i="52"/>
  <c r="H21" i="52"/>
  <c r="K13" i="52"/>
  <c r="I13" i="52"/>
  <c r="H13" i="52"/>
  <c r="K17" i="52"/>
  <c r="H17" i="52"/>
  <c r="I17" i="52"/>
  <c r="K10" i="52"/>
  <c r="H10" i="52"/>
  <c r="I10" i="52"/>
  <c r="J8" i="52"/>
  <c r="G8" i="52"/>
  <c r="J18" i="52"/>
  <c r="G18" i="52"/>
  <c r="P32" i="10"/>
  <c r="P43" i="10" s="1"/>
  <c r="K20" i="52"/>
  <c r="I20" i="52"/>
  <c r="H20" i="52"/>
  <c r="K19" i="52"/>
  <c r="I19" i="52"/>
  <c r="H19" i="52"/>
  <c r="J24" i="52"/>
  <c r="G24" i="52"/>
  <c r="J6" i="52"/>
  <c r="G6" i="52"/>
  <c r="L47" i="26"/>
  <c r="L49" i="26" s="1"/>
  <c r="P47" i="26"/>
  <c r="P49" i="26" s="1"/>
  <c r="K47" i="25"/>
  <c r="K49" i="25" s="1"/>
  <c r="O47" i="25"/>
  <c r="O49" i="25" s="1"/>
  <c r="I47" i="16"/>
  <c r="I49" i="16" s="1"/>
  <c r="M47" i="16"/>
  <c r="M49" i="16" s="1"/>
  <c r="L47" i="7"/>
  <c r="L49" i="7" s="1"/>
  <c r="P47" i="7"/>
  <c r="K47" i="8"/>
  <c r="K49" i="8" s="1"/>
  <c r="O47" i="8"/>
  <c r="O49" i="8" s="1"/>
  <c r="V5" i="45"/>
  <c r="W5" i="45"/>
  <c r="U5" i="45"/>
  <c r="K53" i="16"/>
  <c r="O53" i="16"/>
  <c r="J57" i="15"/>
  <c r="N57" i="15"/>
  <c r="I57" i="7"/>
  <c r="M57" i="7"/>
  <c r="J53" i="11"/>
  <c r="N53" i="11"/>
  <c r="J53" i="22"/>
  <c r="N53" i="22"/>
  <c r="J53" i="20"/>
  <c r="N53" i="20"/>
  <c r="J53" i="19"/>
  <c r="N53" i="19"/>
  <c r="J53" i="18"/>
  <c r="N53" i="18"/>
  <c r="L20" i="33"/>
  <c r="AA34" i="27" s="1"/>
  <c r="L17" i="33"/>
  <c r="K57" i="17"/>
  <c r="O57" i="17"/>
  <c r="AA20" i="27"/>
  <c r="Z24" i="27"/>
  <c r="K57" i="12"/>
  <c r="O57" i="12"/>
  <c r="K58" i="23"/>
  <c r="O58" i="23"/>
  <c r="L58" i="12"/>
  <c r="P58" i="12"/>
  <c r="L25" i="33"/>
  <c r="AA39" i="27" s="1"/>
  <c r="I53" i="15"/>
  <c r="M53" i="15"/>
  <c r="L56" i="23"/>
  <c r="P56" i="23"/>
  <c r="P59" i="29" s="1"/>
  <c r="T59" i="29" s="1"/>
  <c r="E49" i="16"/>
  <c r="D39" i="34" s="1"/>
  <c r="K58" i="26"/>
  <c r="O58" i="26"/>
  <c r="L58" i="11"/>
  <c r="P58" i="11"/>
  <c r="L58" i="26"/>
  <c r="P58" i="26"/>
  <c r="P43" i="12"/>
  <c r="J32" i="22"/>
  <c r="J43" i="22" s="1"/>
  <c r="N32" i="22"/>
  <c r="N43" i="22" s="1"/>
  <c r="K32" i="14"/>
  <c r="K43" i="14" s="1"/>
  <c r="O32" i="14"/>
  <c r="O43" i="14" s="1"/>
  <c r="K32" i="26"/>
  <c r="K43" i="26" s="1"/>
  <c r="O32" i="26"/>
  <c r="O43" i="26" s="1"/>
  <c r="K32" i="25"/>
  <c r="K43" i="25" s="1"/>
  <c r="O32" i="25"/>
  <c r="O43" i="25" s="1"/>
  <c r="J32" i="11"/>
  <c r="J43" i="11" s="1"/>
  <c r="N32" i="11"/>
  <c r="N43" i="11" s="1"/>
  <c r="D32" i="24"/>
  <c r="M32" i="24"/>
  <c r="J32" i="15"/>
  <c r="J43" i="15" s="1"/>
  <c r="N32" i="15"/>
  <c r="N43" i="15" s="1"/>
  <c r="L32" i="5"/>
  <c r="L43" i="5" s="1"/>
  <c r="P32" i="5"/>
  <c r="L32" i="19"/>
  <c r="L43" i="19" s="1"/>
  <c r="P32" i="19"/>
  <c r="P43" i="19" s="1"/>
  <c r="D32" i="23"/>
  <c r="M32" i="23"/>
  <c r="M43" i="23" s="1"/>
  <c r="D32" i="19"/>
  <c r="M32" i="19"/>
  <c r="M43" i="19" s="1"/>
  <c r="K32" i="13"/>
  <c r="K43" i="13" s="1"/>
  <c r="O32" i="13"/>
  <c r="O43" i="13" s="1"/>
  <c r="L32" i="15"/>
  <c r="L43" i="15" s="1"/>
  <c r="P32" i="15"/>
  <c r="P43" i="15" s="1"/>
  <c r="J32" i="24"/>
  <c r="J43" i="24" s="1"/>
  <c r="N32" i="24"/>
  <c r="N43" i="24" s="1"/>
  <c r="L32" i="18"/>
  <c r="L43" i="18" s="1"/>
  <c r="P32" i="18"/>
  <c r="P43" i="18" s="1"/>
  <c r="K32" i="8"/>
  <c r="K43" i="8" s="1"/>
  <c r="O32" i="8"/>
  <c r="O43" i="8" s="1"/>
  <c r="D32" i="14"/>
  <c r="M32" i="14"/>
  <c r="M43" i="14" s="1"/>
  <c r="J32" i="21"/>
  <c r="J43" i="21" s="1"/>
  <c r="N32" i="21"/>
  <c r="N43" i="21" s="1"/>
  <c r="J21" i="52"/>
  <c r="G21" i="52"/>
  <c r="J13" i="52"/>
  <c r="G13" i="52"/>
  <c r="J17" i="52"/>
  <c r="G17" i="52"/>
  <c r="K8" i="52"/>
  <c r="I8" i="52"/>
  <c r="H8" i="52"/>
  <c r="K18" i="52"/>
  <c r="H18" i="52"/>
  <c r="I18" i="52"/>
  <c r="J20" i="52"/>
  <c r="G20" i="52"/>
  <c r="E5" i="52"/>
  <c r="C26" i="52"/>
  <c r="D5" i="52"/>
  <c r="J19" i="52"/>
  <c r="G19" i="52"/>
  <c r="J47" i="12"/>
  <c r="J49" i="12" s="1"/>
  <c r="N47" i="12"/>
  <c r="N49" i="12" s="1"/>
  <c r="K47" i="16"/>
  <c r="K49" i="16" s="1"/>
  <c r="O47" i="16"/>
  <c r="O49" i="16" s="1"/>
  <c r="I47" i="14"/>
  <c r="I49" i="14" s="1"/>
  <c r="M47" i="14"/>
  <c r="K24" i="52"/>
  <c r="I24" i="52"/>
  <c r="H24" i="52"/>
  <c r="K6" i="52"/>
  <c r="I6" i="52"/>
  <c r="H6" i="52"/>
  <c r="J47" i="25"/>
  <c r="J49" i="25" s="1"/>
  <c r="N47" i="25"/>
  <c r="N49" i="25" s="1"/>
  <c r="K47" i="12"/>
  <c r="O47" i="12"/>
  <c r="K47" i="26"/>
  <c r="K49" i="26" s="1"/>
  <c r="O47" i="26"/>
  <c r="O49" i="26" s="1"/>
  <c r="O26" i="46"/>
  <c r="K11" i="52"/>
  <c r="I11" i="52"/>
  <c r="H11" i="52"/>
  <c r="O84" i="49"/>
  <c r="P84" i="49" s="1"/>
  <c r="L53" i="16"/>
  <c r="P53" i="16"/>
  <c r="I57" i="9"/>
  <c r="M57" i="9"/>
  <c r="I57" i="10"/>
  <c r="M57" i="10"/>
  <c r="K53" i="22"/>
  <c r="O53" i="22"/>
  <c r="K57" i="19"/>
  <c r="O57" i="19"/>
  <c r="K57" i="16"/>
  <c r="O57" i="16"/>
  <c r="K53" i="20"/>
  <c r="O53" i="20"/>
  <c r="K53" i="18"/>
  <c r="O53" i="18"/>
  <c r="I53" i="8"/>
  <c r="M53" i="8"/>
  <c r="K57" i="8"/>
  <c r="O57" i="8"/>
  <c r="K57" i="22"/>
  <c r="O57" i="22"/>
  <c r="N81" i="49"/>
  <c r="O81" i="49" s="1"/>
  <c r="P81" i="49" s="1"/>
  <c r="J57" i="17"/>
  <c r="N57" i="17"/>
  <c r="J58" i="23"/>
  <c r="N58" i="23"/>
  <c r="E61" i="29"/>
  <c r="D61" i="29" s="1"/>
  <c r="M58" i="17"/>
  <c r="M61" i="29" s="1"/>
  <c r="Q61" i="29" s="1"/>
  <c r="K58" i="12"/>
  <c r="O58" i="12"/>
  <c r="J56" i="23"/>
  <c r="N56" i="23"/>
  <c r="N59" i="29" s="1"/>
  <c r="R59" i="29" s="1"/>
  <c r="L58" i="24"/>
  <c r="P58" i="24"/>
  <c r="J58" i="11"/>
  <c r="N58" i="11"/>
  <c r="M43" i="24"/>
  <c r="J32" i="17"/>
  <c r="J43" i="17" s="1"/>
  <c r="N32" i="17"/>
  <c r="N43" i="17" s="1"/>
  <c r="K32" i="7"/>
  <c r="K43" i="7" s="1"/>
  <c r="O32" i="7"/>
  <c r="O43" i="7" s="1"/>
  <c r="L32" i="25"/>
  <c r="L43" i="25" s="1"/>
  <c r="P32" i="25"/>
  <c r="P43" i="25" s="1"/>
  <c r="J32" i="10"/>
  <c r="J43" i="10" s="1"/>
  <c r="N32" i="10"/>
  <c r="N43" i="10" s="1"/>
  <c r="K32" i="11"/>
  <c r="K43" i="11" s="1"/>
  <c r="O32" i="11"/>
  <c r="O43" i="11" s="1"/>
  <c r="K32" i="9"/>
  <c r="K43" i="9" s="1"/>
  <c r="O32" i="9"/>
  <c r="O43" i="9" s="1"/>
  <c r="D32" i="5"/>
  <c r="M32" i="5"/>
  <c r="M43" i="5" s="1"/>
  <c r="K32" i="17"/>
  <c r="K43" i="17" s="1"/>
  <c r="O32" i="17"/>
  <c r="O43" i="17" s="1"/>
  <c r="K32" i="18"/>
  <c r="K43" i="18" s="1"/>
  <c r="O32" i="18"/>
  <c r="O43" i="18" s="1"/>
  <c r="J32" i="18"/>
  <c r="J43" i="18" s="1"/>
  <c r="N32" i="18"/>
  <c r="N43" i="18" s="1"/>
  <c r="K32" i="23"/>
  <c r="K43" i="23" s="1"/>
  <c r="O32" i="23"/>
  <c r="O43" i="23" s="1"/>
  <c r="K32" i="19"/>
  <c r="K43" i="19" s="1"/>
  <c r="O32" i="19"/>
  <c r="O43" i="19" s="1"/>
  <c r="L32" i="11"/>
  <c r="L43" i="11" s="1"/>
  <c r="P32" i="11"/>
  <c r="P43" i="11" s="1"/>
  <c r="K32" i="20"/>
  <c r="K43" i="20" s="1"/>
  <c r="O32" i="20"/>
  <c r="O43" i="20" s="1"/>
  <c r="D32" i="22"/>
  <c r="M32" i="22"/>
  <c r="M43" i="22" s="1"/>
  <c r="J32" i="25"/>
  <c r="J43" i="25" s="1"/>
  <c r="N32" i="25"/>
  <c r="N43" i="25" s="1"/>
  <c r="K7" i="52"/>
  <c r="H7" i="52"/>
  <c r="I7" i="52"/>
  <c r="K15" i="52"/>
  <c r="H15" i="52"/>
  <c r="I15" i="52"/>
  <c r="K23" i="52"/>
  <c r="H23" i="52"/>
  <c r="I23" i="52"/>
  <c r="K9" i="52"/>
  <c r="H9" i="52"/>
  <c r="I9" i="52"/>
  <c r="J22" i="52"/>
  <c r="G22" i="52"/>
  <c r="J14" i="52"/>
  <c r="G14" i="52"/>
  <c r="K12" i="52"/>
  <c r="H12" i="52"/>
  <c r="I12" i="52"/>
  <c r="J16" i="52"/>
  <c r="G16" i="52"/>
  <c r="K47" i="10"/>
  <c r="K49" i="10" s="1"/>
  <c r="O47" i="10"/>
  <c r="O49" i="10" s="1"/>
  <c r="J55" i="5"/>
  <c r="N55" i="5"/>
  <c r="N58" i="29" s="1"/>
  <c r="R58" i="29" s="1"/>
  <c r="K25" i="52"/>
  <c r="H25" i="52"/>
  <c r="I25" i="52"/>
  <c r="I47" i="25"/>
  <c r="I49" i="25" s="1"/>
  <c r="M47" i="25"/>
  <c r="M49" i="25" s="1"/>
  <c r="T5" i="45"/>
  <c r="S5" i="45"/>
  <c r="E73" i="49"/>
  <c r="F52" i="49"/>
  <c r="F73" i="49" s="1"/>
  <c r="J11" i="52"/>
  <c r="G11" i="52"/>
  <c r="K53" i="17"/>
  <c r="O53" i="17"/>
  <c r="K53" i="7"/>
  <c r="O53" i="7"/>
  <c r="K57" i="15"/>
  <c r="O57" i="15"/>
  <c r="I57" i="21"/>
  <c r="M57" i="21"/>
  <c r="I57" i="13"/>
  <c r="M57" i="13"/>
  <c r="K55" i="12"/>
  <c r="O55" i="12"/>
  <c r="L53" i="11"/>
  <c r="P53" i="11"/>
  <c r="L53" i="22"/>
  <c r="P53" i="22"/>
  <c r="L57" i="19"/>
  <c r="P57" i="19"/>
  <c r="L57" i="16"/>
  <c r="P57" i="16"/>
  <c r="L53" i="20"/>
  <c r="P53" i="20"/>
  <c r="L53" i="19"/>
  <c r="P53" i="19"/>
  <c r="L53" i="18"/>
  <c r="P53" i="18"/>
  <c r="L57" i="8"/>
  <c r="P57" i="8"/>
  <c r="L57" i="22"/>
  <c r="P57" i="22"/>
  <c r="N87" i="49"/>
  <c r="O87" i="49" s="1"/>
  <c r="P87" i="49" s="1"/>
  <c r="N88" i="49"/>
  <c r="O88" i="49" s="1"/>
  <c r="P88" i="49" s="1"/>
  <c r="L16" i="33"/>
  <c r="AA19" i="27"/>
  <c r="J57" i="12"/>
  <c r="N57" i="12"/>
  <c r="I53" i="25"/>
  <c r="M53" i="25"/>
  <c r="I53" i="21"/>
  <c r="M53" i="21"/>
  <c r="K55" i="5"/>
  <c r="O55" i="5"/>
  <c r="L59" i="12"/>
  <c r="P59" i="12"/>
  <c r="P62" i="29" s="1"/>
  <c r="T62" i="29" s="1"/>
  <c r="G49" i="25"/>
  <c r="G50" i="29"/>
  <c r="G52" i="29" s="1"/>
  <c r="G49" i="8"/>
  <c r="L55" i="5"/>
  <c r="P55" i="5"/>
  <c r="P58" i="29" s="1"/>
  <c r="T58" i="29" s="1"/>
  <c r="I49" i="23"/>
  <c r="K58" i="11"/>
  <c r="O58" i="11"/>
  <c r="J58" i="10"/>
  <c r="N58" i="10"/>
  <c r="L58" i="22"/>
  <c r="P58" i="22"/>
  <c r="J59" i="12"/>
  <c r="N59" i="12"/>
  <c r="N62" i="29" s="1"/>
  <c r="R62" i="29" s="1"/>
  <c r="P49" i="18"/>
  <c r="K32" i="16"/>
  <c r="K43" i="16" s="1"/>
  <c r="O32" i="16"/>
  <c r="O43" i="16" s="1"/>
  <c r="D32" i="25"/>
  <c r="M32" i="25"/>
  <c r="M43" i="25" s="1"/>
  <c r="K32" i="22"/>
  <c r="K43" i="22" s="1"/>
  <c r="O32" i="22"/>
  <c r="O43" i="22" s="1"/>
  <c r="J32" i="19"/>
  <c r="J43" i="19" s="1"/>
  <c r="N32" i="19"/>
  <c r="N43" i="19" s="1"/>
  <c r="L32" i="14"/>
  <c r="L43" i="14" s="1"/>
  <c r="P32" i="14"/>
  <c r="P43" i="14" s="1"/>
  <c r="L32" i="20"/>
  <c r="L43" i="20" s="1"/>
  <c r="P32" i="20"/>
  <c r="P43" i="20" s="1"/>
  <c r="J32" i="20"/>
  <c r="J43" i="20" s="1"/>
  <c r="N32" i="20"/>
  <c r="N43" i="20" s="1"/>
  <c r="D32" i="11"/>
  <c r="M32" i="11"/>
  <c r="M43" i="11" s="1"/>
  <c r="L32" i="9"/>
  <c r="L43" i="9" s="1"/>
  <c r="P32" i="9"/>
  <c r="P43" i="9" s="1"/>
  <c r="L32" i="21"/>
  <c r="L43" i="21" s="1"/>
  <c r="P32" i="21"/>
  <c r="P43" i="21" s="1"/>
  <c r="K32" i="5"/>
  <c r="K43" i="5" s="1"/>
  <c r="O32" i="5"/>
  <c r="L32" i="7"/>
  <c r="L43" i="7" s="1"/>
  <c r="P32" i="7"/>
  <c r="P43" i="7" s="1"/>
  <c r="J32" i="7"/>
  <c r="J43" i="7" s="1"/>
  <c r="N32" i="7"/>
  <c r="N43" i="7" s="1"/>
  <c r="K32" i="24"/>
  <c r="K43" i="24" s="1"/>
  <c r="O32" i="24"/>
  <c r="O43" i="24" s="1"/>
  <c r="D32" i="7"/>
  <c r="M32" i="7"/>
  <c r="M43" i="7" s="1"/>
  <c r="D32" i="13"/>
  <c r="M32" i="13"/>
  <c r="M43" i="13" s="1"/>
  <c r="L32" i="26"/>
  <c r="L43" i="26" s="1"/>
  <c r="P32" i="26"/>
  <c r="P43" i="26" s="1"/>
  <c r="D32" i="21"/>
  <c r="M32" i="21"/>
  <c r="M43" i="21" s="1"/>
  <c r="J32" i="9"/>
  <c r="J43" i="9" s="1"/>
  <c r="N32" i="9"/>
  <c r="N43" i="9" s="1"/>
  <c r="D32" i="8"/>
  <c r="M32" i="8"/>
  <c r="M43" i="8" s="1"/>
  <c r="J7" i="52"/>
  <c r="G7" i="52"/>
  <c r="J15" i="52"/>
  <c r="G15" i="52"/>
  <c r="J10" i="52"/>
  <c r="G10" i="52"/>
  <c r="J23" i="52"/>
  <c r="G23" i="52"/>
  <c r="J9" i="52"/>
  <c r="G9" i="52"/>
  <c r="K22" i="52"/>
  <c r="I22" i="52"/>
  <c r="H22" i="52"/>
  <c r="K14" i="52"/>
  <c r="H14" i="52"/>
  <c r="I14" i="52"/>
  <c r="J12" i="52"/>
  <c r="G12" i="52"/>
  <c r="K16" i="52"/>
  <c r="I16" i="52"/>
  <c r="H16" i="52"/>
  <c r="J25" i="52"/>
  <c r="G25" i="52"/>
  <c r="L47" i="10"/>
  <c r="L49" i="10" s="1"/>
  <c r="P47" i="10"/>
  <c r="P49" i="10" s="1"/>
  <c r="L47" i="22"/>
  <c r="L49" i="22" s="1"/>
  <c r="P47" i="22"/>
  <c r="P49" i="22" s="1"/>
  <c r="R5" i="45"/>
  <c r="P5" i="46"/>
  <c r="J58" i="26"/>
  <c r="N58" i="26"/>
  <c r="K59" i="12"/>
  <c r="O59" i="12"/>
  <c r="O62" i="29" s="1"/>
  <c r="S62" i="29" s="1"/>
  <c r="F99" i="49"/>
  <c r="E32" i="49"/>
  <c r="K32" i="49"/>
  <c r="D32" i="49"/>
  <c r="E99" i="49"/>
  <c r="J32" i="49"/>
  <c r="P25" i="29"/>
  <c r="T25" i="29" s="1"/>
  <c r="N24" i="45"/>
  <c r="N21" i="45"/>
  <c r="N15" i="45"/>
  <c r="N9" i="45"/>
  <c r="N7" i="45"/>
  <c r="P7" i="46" s="1"/>
  <c r="U7" i="46" s="1"/>
  <c r="H26" i="45"/>
  <c r="N14" i="45"/>
  <c r="N12" i="45"/>
  <c r="N13" i="45"/>
  <c r="N25" i="45"/>
  <c r="N8" i="45"/>
  <c r="N11" i="45"/>
  <c r="N16" i="45"/>
  <c r="N23" i="45"/>
  <c r="N18" i="45"/>
  <c r="R18" i="45" s="1"/>
  <c r="N10" i="45"/>
  <c r="R10" i="45" s="1"/>
  <c r="N20" i="45"/>
  <c r="N19" i="45"/>
  <c r="N22" i="45"/>
  <c r="N17" i="45"/>
  <c r="N6" i="45"/>
  <c r="G26" i="45"/>
  <c r="O25" i="29"/>
  <c r="S25" i="29" s="1"/>
  <c r="J5" i="46"/>
  <c r="H25" i="29"/>
  <c r="G29" i="13"/>
  <c r="O29" i="13"/>
  <c r="G25" i="29"/>
  <c r="D25" i="34"/>
  <c r="B25" i="34"/>
  <c r="I32" i="26"/>
  <c r="I43" i="26" s="1"/>
  <c r="I32" i="16"/>
  <c r="I43" i="16" s="1"/>
  <c r="I32" i="25"/>
  <c r="I32" i="11"/>
  <c r="I43" i="11" s="1"/>
  <c r="D32" i="20"/>
  <c r="I32" i="20"/>
  <c r="I43" i="20" s="1"/>
  <c r="I32" i="17"/>
  <c r="I32" i="5"/>
  <c r="I43" i="5" s="1"/>
  <c r="I32" i="9"/>
  <c r="I43" i="9" s="1"/>
  <c r="D32" i="10"/>
  <c r="I32" i="10"/>
  <c r="I43" i="10" s="1"/>
  <c r="I32" i="24"/>
  <c r="D32" i="15"/>
  <c r="I32" i="15"/>
  <c r="I43" i="15" s="1"/>
  <c r="G14" i="46"/>
  <c r="H14" i="46" s="1"/>
  <c r="E14" i="46"/>
  <c r="I14" i="46" s="1"/>
  <c r="J14" i="46" s="1"/>
  <c r="G18" i="46"/>
  <c r="H18" i="46" s="1"/>
  <c r="E18" i="46"/>
  <c r="I18" i="46" s="1"/>
  <c r="J18" i="46" s="1"/>
  <c r="G23" i="46"/>
  <c r="H23" i="46" s="1"/>
  <c r="E23" i="46"/>
  <c r="I23" i="46" s="1"/>
  <c r="J23" i="46" s="1"/>
  <c r="E12" i="46"/>
  <c r="I12" i="46" s="1"/>
  <c r="J12" i="46" s="1"/>
  <c r="G12" i="46"/>
  <c r="H12" i="46" s="1"/>
  <c r="E22" i="46"/>
  <c r="I22" i="46" s="1"/>
  <c r="J22" i="46" s="1"/>
  <c r="G22" i="46"/>
  <c r="H22" i="46" s="1"/>
  <c r="E11" i="46"/>
  <c r="I11" i="46" s="1"/>
  <c r="J11" i="46" s="1"/>
  <c r="G11" i="46"/>
  <c r="H11" i="46" s="1"/>
  <c r="G15" i="46"/>
  <c r="H15" i="46" s="1"/>
  <c r="E15" i="46"/>
  <c r="I15" i="46" s="1"/>
  <c r="J15" i="46" s="1"/>
  <c r="G25" i="46"/>
  <c r="H25" i="46" s="1"/>
  <c r="E25" i="46"/>
  <c r="I25" i="46" s="1"/>
  <c r="J25" i="46" s="1"/>
  <c r="G13" i="46"/>
  <c r="H13" i="46" s="1"/>
  <c r="E13" i="46"/>
  <c r="I13" i="46" s="1"/>
  <c r="J13" i="46" s="1"/>
  <c r="G20" i="46"/>
  <c r="H20" i="46" s="1"/>
  <c r="E20" i="46"/>
  <c r="I20" i="46" s="1"/>
  <c r="J20" i="46" s="1"/>
  <c r="G24" i="46"/>
  <c r="H24" i="46" s="1"/>
  <c r="E24" i="46"/>
  <c r="I24" i="46" s="1"/>
  <c r="J24" i="46" s="1"/>
  <c r="G10" i="46"/>
  <c r="H10" i="46" s="1"/>
  <c r="E10" i="46"/>
  <c r="I10" i="46" s="1"/>
  <c r="J10" i="46" s="1"/>
  <c r="F6" i="45"/>
  <c r="F26" i="45" s="1"/>
  <c r="D26" i="45"/>
  <c r="G7" i="46"/>
  <c r="H7" i="46" s="1"/>
  <c r="E7" i="46"/>
  <c r="I7" i="46" s="1"/>
  <c r="J7" i="46" s="1"/>
  <c r="F26" i="46"/>
  <c r="E26" i="45"/>
  <c r="G9" i="46"/>
  <c r="H9" i="46" s="1"/>
  <c r="E9" i="46"/>
  <c r="I9" i="46" s="1"/>
  <c r="J9" i="46" s="1"/>
  <c r="G19" i="46"/>
  <c r="H19" i="46" s="1"/>
  <c r="E19" i="46"/>
  <c r="I19" i="46" s="1"/>
  <c r="J19" i="46" s="1"/>
  <c r="G16" i="46"/>
  <c r="H16" i="46" s="1"/>
  <c r="E16" i="46"/>
  <c r="I16" i="46" s="1"/>
  <c r="J16" i="46" s="1"/>
  <c r="G8" i="46"/>
  <c r="H8" i="46" s="1"/>
  <c r="E8" i="46"/>
  <c r="I8" i="46" s="1"/>
  <c r="J8" i="46" s="1"/>
  <c r="G21" i="46"/>
  <c r="H21" i="46" s="1"/>
  <c r="E21" i="46"/>
  <c r="I21" i="46" s="1"/>
  <c r="J21" i="46" s="1"/>
  <c r="E17" i="46"/>
  <c r="I17" i="46" s="1"/>
  <c r="J17" i="46" s="1"/>
  <c r="G17" i="46"/>
  <c r="H17" i="46" s="1"/>
  <c r="G6" i="46"/>
  <c r="E6" i="46"/>
  <c r="I6" i="46" s="1"/>
  <c r="D26" i="46"/>
  <c r="L14" i="29"/>
  <c r="O43" i="12"/>
  <c r="G36" i="29"/>
  <c r="N43" i="12"/>
  <c r="P29" i="5"/>
  <c r="M16" i="29"/>
  <c r="Q16" i="29" s="1"/>
  <c r="Q32" i="29" s="1"/>
  <c r="G29" i="18"/>
  <c r="O13" i="18"/>
  <c r="O29" i="18" s="1"/>
  <c r="H29" i="24"/>
  <c r="P13" i="24"/>
  <c r="P29" i="24" s="1"/>
  <c r="M36" i="29"/>
  <c r="Q36" i="29" s="1"/>
  <c r="M29" i="5"/>
  <c r="N13" i="5"/>
  <c r="H29" i="8"/>
  <c r="P13" i="8"/>
  <c r="G29" i="21"/>
  <c r="O13" i="21"/>
  <c r="O29" i="21" s="1"/>
  <c r="F29" i="8"/>
  <c r="N13" i="8"/>
  <c r="N29" i="8" s="1"/>
  <c r="P36" i="29"/>
  <c r="T36" i="29" s="1"/>
  <c r="H29" i="20"/>
  <c r="P13" i="20"/>
  <c r="P29" i="20" s="1"/>
  <c r="F29" i="18"/>
  <c r="N13" i="18"/>
  <c r="N29" i="18" s="1"/>
  <c r="G29" i="24"/>
  <c r="O13" i="24"/>
  <c r="G29" i="12"/>
  <c r="O13" i="12"/>
  <c r="F29" i="14"/>
  <c r="N13" i="14"/>
  <c r="N29" i="14" s="1"/>
  <c r="G29" i="5"/>
  <c r="O13" i="5"/>
  <c r="H36" i="29"/>
  <c r="G29" i="25"/>
  <c r="O13" i="25"/>
  <c r="O29" i="25" s="1"/>
  <c r="G29" i="8"/>
  <c r="O13" i="8"/>
  <c r="O29" i="8" s="1"/>
  <c r="G29" i="20"/>
  <c r="O13" i="20"/>
  <c r="F29" i="13"/>
  <c r="N13" i="13"/>
  <c r="N29" i="13" s="1"/>
  <c r="F29" i="26"/>
  <c r="N13" i="26"/>
  <c r="H29" i="14"/>
  <c r="P13" i="14"/>
  <c r="P29" i="14" s="1"/>
  <c r="H29" i="12"/>
  <c r="P13" i="12"/>
  <c r="F29" i="9"/>
  <c r="N13" i="9"/>
  <c r="N29" i="9" s="1"/>
  <c r="F29" i="25"/>
  <c r="N13" i="25"/>
  <c r="N29" i="25" s="1"/>
  <c r="H29" i="23"/>
  <c r="P13" i="23"/>
  <c r="P29" i="23" s="1"/>
  <c r="F29" i="20"/>
  <c r="N13" i="20"/>
  <c r="N29" i="20" s="1"/>
  <c r="H29" i="26"/>
  <c r="P13" i="26"/>
  <c r="P29" i="26" s="1"/>
  <c r="G29" i="26"/>
  <c r="O13" i="26"/>
  <c r="O29" i="26" s="1"/>
  <c r="H29" i="9"/>
  <c r="P13" i="9"/>
  <c r="P29" i="9" s="1"/>
  <c r="F29" i="21"/>
  <c r="N13" i="21"/>
  <c r="N29" i="21" s="1"/>
  <c r="G29" i="14"/>
  <c r="O13" i="14"/>
  <c r="F29" i="12"/>
  <c r="N13" i="12"/>
  <c r="N29" i="12" s="1"/>
  <c r="G29" i="9"/>
  <c r="O13" i="9"/>
  <c r="O29" i="9" s="1"/>
  <c r="H29" i="13"/>
  <c r="P13" i="13"/>
  <c r="P29" i="13" s="1"/>
  <c r="H29" i="25"/>
  <c r="P13" i="25"/>
  <c r="P29" i="25" s="1"/>
  <c r="H29" i="18"/>
  <c r="P13" i="18"/>
  <c r="P29" i="18" s="1"/>
  <c r="H29" i="21"/>
  <c r="P13" i="21"/>
  <c r="P29" i="21" s="1"/>
  <c r="F29" i="23"/>
  <c r="N13" i="23"/>
  <c r="N29" i="23" s="1"/>
  <c r="P14" i="29"/>
  <c r="T14" i="29" s="1"/>
  <c r="T10" i="29"/>
  <c r="I32" i="29"/>
  <c r="H53" i="21"/>
  <c r="N14" i="29"/>
  <c r="R14" i="29" s="1"/>
  <c r="F53" i="21"/>
  <c r="I49" i="5"/>
  <c r="G53" i="21"/>
  <c r="I51" i="29"/>
  <c r="D53" i="21"/>
  <c r="H53" i="15"/>
  <c r="F12" i="29"/>
  <c r="F11" i="29"/>
  <c r="G121" i="15"/>
  <c r="F11" i="14"/>
  <c r="H11" i="29"/>
  <c r="G53" i="15"/>
  <c r="H59" i="29"/>
  <c r="L56" i="5"/>
  <c r="G12" i="29"/>
  <c r="G14" i="29" s="1"/>
  <c r="J49" i="20"/>
  <c r="L51" i="29"/>
  <c r="F53" i="15"/>
  <c r="G11" i="24"/>
  <c r="G35" i="29"/>
  <c r="K32" i="12"/>
  <c r="F59" i="29"/>
  <c r="J56" i="5"/>
  <c r="H12" i="29"/>
  <c r="L49" i="20"/>
  <c r="D53" i="15"/>
  <c r="H58" i="29"/>
  <c r="L55" i="12"/>
  <c r="G59" i="29"/>
  <c r="K56" i="5"/>
  <c r="J32" i="12"/>
  <c r="D32" i="12"/>
  <c r="I32" i="12"/>
  <c r="E35" i="29"/>
  <c r="D35" i="29" s="1"/>
  <c r="H35" i="29"/>
  <c r="L32" i="12"/>
  <c r="F58" i="29"/>
  <c r="J55" i="12"/>
  <c r="D33" i="12"/>
  <c r="E36" i="29"/>
  <c r="D36" i="29" s="1"/>
  <c r="I62" i="29"/>
  <c r="E32" i="29"/>
  <c r="D32" i="29"/>
  <c r="D58" i="17"/>
  <c r="F58" i="17"/>
  <c r="G58" i="17"/>
  <c r="H58" i="17"/>
  <c r="I58" i="17"/>
  <c r="I61" i="29" s="1"/>
  <c r="Y24" i="27"/>
  <c r="Y35" i="27"/>
  <c r="I14" i="29"/>
  <c r="H11" i="14"/>
  <c r="O14" i="29"/>
  <c r="S14" i="29" s="1"/>
  <c r="M14" i="29"/>
  <c r="Q14" i="29" s="1"/>
  <c r="Y27" i="27"/>
  <c r="G11" i="14"/>
  <c r="L28" i="6"/>
  <c r="S36" i="29"/>
  <c r="S49" i="29"/>
  <c r="C60" i="29"/>
  <c r="G47" i="30" s="1"/>
  <c r="C53" i="26"/>
  <c r="N98" i="49" s="1"/>
  <c r="O98" i="49" s="1"/>
  <c r="P98" i="49" s="1"/>
  <c r="G121" i="26"/>
  <c r="G53" i="25"/>
  <c r="D53" i="25"/>
  <c r="H53" i="25"/>
  <c r="F53" i="25"/>
  <c r="G121" i="25"/>
  <c r="C52" i="25"/>
  <c r="N97" i="49" s="1"/>
  <c r="O97" i="49" s="1"/>
  <c r="P97" i="49" s="1"/>
  <c r="G121" i="24"/>
  <c r="C52" i="24"/>
  <c r="N96" i="49" s="1"/>
  <c r="O96" i="49" s="1"/>
  <c r="P96" i="49" s="1"/>
  <c r="G104" i="23"/>
  <c r="C53" i="23" s="1"/>
  <c r="N95" i="49" s="1"/>
  <c r="O95" i="49" s="1"/>
  <c r="P95" i="49" s="1"/>
  <c r="G121" i="5"/>
  <c r="E52" i="5"/>
  <c r="G58" i="29"/>
  <c r="E121" i="12"/>
  <c r="G97" i="12"/>
  <c r="G121" i="12" s="1"/>
  <c r="F16" i="29"/>
  <c r="G16" i="29"/>
  <c r="L32" i="29"/>
  <c r="J32" i="29"/>
  <c r="AA35" i="27"/>
  <c r="AA24" i="27"/>
  <c r="AA32" i="27"/>
  <c r="AA27" i="27"/>
  <c r="J54" i="15"/>
  <c r="K54" i="15"/>
  <c r="J26" i="33"/>
  <c r="Y30" i="27" s="1"/>
  <c r="K26" i="33"/>
  <c r="Z30" i="27" s="1"/>
  <c r="L54" i="15"/>
  <c r="K14" i="29"/>
  <c r="K32" i="29"/>
  <c r="L59" i="5"/>
  <c r="H62" i="29"/>
  <c r="K59" i="5"/>
  <c r="G62" i="29"/>
  <c r="E52" i="23"/>
  <c r="M52" i="23" s="1"/>
  <c r="E52" i="15"/>
  <c r="M52" i="15" s="1"/>
  <c r="C61" i="15"/>
  <c r="C67" i="15" s="1"/>
  <c r="I11" i="49" s="1"/>
  <c r="F52" i="19"/>
  <c r="N52" i="19" s="1"/>
  <c r="H52" i="19"/>
  <c r="P52" i="19" s="1"/>
  <c r="I52" i="19"/>
  <c r="I61" i="19" s="1"/>
  <c r="G52" i="19"/>
  <c r="O52" i="19" s="1"/>
  <c r="D52" i="19"/>
  <c r="D61" i="19" s="1"/>
  <c r="E61" i="19"/>
  <c r="G52" i="16"/>
  <c r="O52" i="16" s="1"/>
  <c r="D52" i="16"/>
  <c r="D61" i="16" s="1"/>
  <c r="D67" i="16" s="1"/>
  <c r="F52" i="16"/>
  <c r="N52" i="16" s="1"/>
  <c r="H52" i="16"/>
  <c r="P52" i="16" s="1"/>
  <c r="I52" i="16"/>
  <c r="I61" i="16" s="1"/>
  <c r="I67" i="16" s="1"/>
  <c r="E61" i="16"/>
  <c r="E67" i="16" s="1"/>
  <c r="K58" i="20"/>
  <c r="E52" i="20"/>
  <c r="M52" i="20" s="1"/>
  <c r="C61" i="20"/>
  <c r="C61" i="18"/>
  <c r="C67" i="18" s="1"/>
  <c r="I10" i="49" s="1"/>
  <c r="E52" i="18"/>
  <c r="M52" i="18" s="1"/>
  <c r="M61" i="18" s="1"/>
  <c r="M67" i="18" s="1"/>
  <c r="E52" i="17"/>
  <c r="M52" i="17" s="1"/>
  <c r="C61" i="17"/>
  <c r="C67" i="17" s="1"/>
  <c r="I12" i="49" s="1"/>
  <c r="C61" i="7"/>
  <c r="C67" i="7" s="1"/>
  <c r="I14" i="49" s="1"/>
  <c r="E52" i="7"/>
  <c r="M52" i="7" s="1"/>
  <c r="C61" i="11"/>
  <c r="C67" i="11" s="1"/>
  <c r="I18" i="49" s="1"/>
  <c r="E52" i="11"/>
  <c r="M52" i="11" s="1"/>
  <c r="M61" i="11" s="1"/>
  <c r="M67" i="11" s="1"/>
  <c r="E52" i="21"/>
  <c r="M52" i="21" s="1"/>
  <c r="C61" i="21"/>
  <c r="C67" i="21" s="1"/>
  <c r="I20" i="49" s="1"/>
  <c r="E52" i="8"/>
  <c r="M52" i="8" s="1"/>
  <c r="C61" i="8"/>
  <c r="C67" i="8" s="1"/>
  <c r="I15" i="49" s="1"/>
  <c r="E121" i="9"/>
  <c r="E121" i="10"/>
  <c r="E121" i="13"/>
  <c r="G52" i="14"/>
  <c r="O52" i="14" s="1"/>
  <c r="D52" i="14"/>
  <c r="F52" i="14"/>
  <c r="N52" i="14" s="1"/>
  <c r="H52" i="14"/>
  <c r="P52" i="14" s="1"/>
  <c r="I52" i="14"/>
  <c r="F52" i="13"/>
  <c r="N52" i="13" s="1"/>
  <c r="H52" i="13"/>
  <c r="P52" i="13" s="1"/>
  <c r="I52" i="13"/>
  <c r="G52" i="13"/>
  <c r="O52" i="13" s="1"/>
  <c r="D52" i="13"/>
  <c r="E52" i="22"/>
  <c r="M52" i="22" s="1"/>
  <c r="M61" i="22" s="1"/>
  <c r="M67" i="22" s="1"/>
  <c r="C61" i="22"/>
  <c r="C67" i="22" s="1"/>
  <c r="I21" i="49" s="1"/>
  <c r="F62" i="29"/>
  <c r="J59" i="5"/>
  <c r="F57" i="20"/>
  <c r="H57" i="20"/>
  <c r="G57" i="20"/>
  <c r="D57" i="20"/>
  <c r="G57" i="7"/>
  <c r="D57" i="7"/>
  <c r="F57" i="7"/>
  <c r="H57" i="7"/>
  <c r="F57" i="9"/>
  <c r="H57" i="9"/>
  <c r="G57" i="9"/>
  <c r="D57" i="9"/>
  <c r="F57" i="21"/>
  <c r="H57" i="21"/>
  <c r="G57" i="21"/>
  <c r="D57" i="21"/>
  <c r="G57" i="10"/>
  <c r="D57" i="10"/>
  <c r="F57" i="10"/>
  <c r="H57" i="10"/>
  <c r="G57" i="13"/>
  <c r="D57" i="13"/>
  <c r="F57" i="13"/>
  <c r="H57" i="13"/>
  <c r="G57" i="24"/>
  <c r="D57" i="24"/>
  <c r="F57" i="24"/>
  <c r="H57" i="24"/>
  <c r="H12" i="34"/>
  <c r="F53" i="5"/>
  <c r="H53" i="5"/>
  <c r="G53" i="5"/>
  <c r="D53" i="5"/>
  <c r="C53" i="14"/>
  <c r="N80" i="49" s="1"/>
  <c r="O80" i="49" s="1"/>
  <c r="P80" i="49" s="1"/>
  <c r="G121" i="14"/>
  <c r="G53" i="8"/>
  <c r="F53" i="8"/>
  <c r="D53" i="8"/>
  <c r="H53" i="8"/>
  <c r="C53" i="9"/>
  <c r="N89" i="49" s="1"/>
  <c r="O89" i="49" s="1"/>
  <c r="P89" i="49" s="1"/>
  <c r="G121" i="9"/>
  <c r="C53" i="10"/>
  <c r="N90" i="49" s="1"/>
  <c r="O90" i="49" s="1"/>
  <c r="P90" i="49" s="1"/>
  <c r="G121" i="10"/>
  <c r="C53" i="13"/>
  <c r="N92" i="49" s="1"/>
  <c r="O92" i="49" s="1"/>
  <c r="P92" i="49" s="1"/>
  <c r="G121" i="13"/>
  <c r="E57" i="14"/>
  <c r="F52" i="26"/>
  <c r="N52" i="26" s="1"/>
  <c r="H52" i="26"/>
  <c r="P52" i="26" s="1"/>
  <c r="I52" i="26"/>
  <c r="G52" i="26"/>
  <c r="O52" i="26" s="1"/>
  <c r="D52" i="26"/>
  <c r="F52" i="10"/>
  <c r="N52" i="10" s="1"/>
  <c r="H52" i="10"/>
  <c r="P52" i="10" s="1"/>
  <c r="I52" i="10"/>
  <c r="G52" i="10"/>
  <c r="O52" i="10" s="1"/>
  <c r="D52" i="10"/>
  <c r="L58" i="20"/>
  <c r="J58" i="20"/>
  <c r="H16" i="29"/>
  <c r="G121" i="20"/>
  <c r="G121" i="7"/>
  <c r="G121" i="21"/>
  <c r="G121" i="8"/>
  <c r="C33" i="34"/>
  <c r="C25" i="34"/>
  <c r="B52" i="34"/>
  <c r="D52" i="34" l="1"/>
  <c r="J36" i="30"/>
  <c r="K36" i="30" s="1"/>
  <c r="J48" i="30"/>
  <c r="K48" i="30" s="1"/>
  <c r="K46" i="30"/>
  <c r="H47" i="30"/>
  <c r="J39" i="30"/>
  <c r="K39" i="30" s="1"/>
  <c r="J33" i="30"/>
  <c r="K33" i="30" s="1"/>
  <c r="J26" i="30"/>
  <c r="K26" i="30" s="1"/>
  <c r="I27" i="30"/>
  <c r="M61" i="8"/>
  <c r="M67" i="8" s="1"/>
  <c r="K59" i="29"/>
  <c r="O61" i="19"/>
  <c r="K62" i="29"/>
  <c r="L62" i="29"/>
  <c r="M61" i="20"/>
  <c r="P61" i="16"/>
  <c r="P67" i="16" s="1"/>
  <c r="M69" i="22"/>
  <c r="C122" i="49" s="1"/>
  <c r="G122" i="49" s="1"/>
  <c r="K58" i="29"/>
  <c r="J59" i="29"/>
  <c r="E52" i="29"/>
  <c r="L50" i="29"/>
  <c r="L52" i="29" s="1"/>
  <c r="P61" i="19"/>
  <c r="J62" i="29"/>
  <c r="I50" i="29"/>
  <c r="I52" i="29" s="1"/>
  <c r="M61" i="17"/>
  <c r="M67" i="17" s="1"/>
  <c r="M61" i="21"/>
  <c r="M67" i="21" s="1"/>
  <c r="L58" i="29"/>
  <c r="M69" i="18"/>
  <c r="C111" i="49" s="1"/>
  <c r="G111" i="49" s="1"/>
  <c r="M61" i="15"/>
  <c r="M67" i="15" s="1"/>
  <c r="M69" i="11"/>
  <c r="C119" i="49" s="1"/>
  <c r="G119" i="49" s="1"/>
  <c r="M69" i="16"/>
  <c r="C114" i="49" s="1"/>
  <c r="G114" i="49" s="1"/>
  <c r="I57" i="14"/>
  <c r="I60" i="29" s="1"/>
  <c r="M57" i="14"/>
  <c r="M60" i="29" s="1"/>
  <c r="Q60" i="29" s="1"/>
  <c r="J53" i="5"/>
  <c r="N53" i="5"/>
  <c r="L57" i="21"/>
  <c r="P57" i="21"/>
  <c r="L57" i="9"/>
  <c r="P57" i="9"/>
  <c r="L57" i="20"/>
  <c r="P57" i="20"/>
  <c r="I52" i="5"/>
  <c r="M52" i="5"/>
  <c r="L53" i="25"/>
  <c r="P53" i="25"/>
  <c r="J58" i="17"/>
  <c r="J61" i="29" s="1"/>
  <c r="N58" i="17"/>
  <c r="N61" i="29" s="1"/>
  <c r="R61" i="29" s="1"/>
  <c r="L53" i="15"/>
  <c r="P53" i="15"/>
  <c r="L53" i="21"/>
  <c r="P53" i="21"/>
  <c r="Q6" i="45"/>
  <c r="P6" i="46"/>
  <c r="Q20" i="45"/>
  <c r="P20" i="46"/>
  <c r="Q16" i="45"/>
  <c r="P16" i="46"/>
  <c r="O13" i="45"/>
  <c r="P13" i="45" s="1"/>
  <c r="T13" i="45" s="1"/>
  <c r="P13" i="46"/>
  <c r="Q24" i="45"/>
  <c r="P24" i="46"/>
  <c r="Q7" i="46"/>
  <c r="S5" i="46"/>
  <c r="M49" i="14"/>
  <c r="M50" i="29"/>
  <c r="K5" i="52"/>
  <c r="K26" i="52" s="1"/>
  <c r="H5" i="52"/>
  <c r="H26" i="52" s="1"/>
  <c r="I5" i="52"/>
  <c r="I26" i="52" s="1"/>
  <c r="D26" i="52"/>
  <c r="J53" i="8"/>
  <c r="N53" i="8"/>
  <c r="K57" i="24"/>
  <c r="O57" i="24"/>
  <c r="K57" i="13"/>
  <c r="O57" i="13"/>
  <c r="K57" i="10"/>
  <c r="O57" i="10"/>
  <c r="J57" i="21"/>
  <c r="N57" i="21"/>
  <c r="J57" i="9"/>
  <c r="N57" i="9"/>
  <c r="K57" i="7"/>
  <c r="O57" i="7"/>
  <c r="J57" i="20"/>
  <c r="N57" i="20"/>
  <c r="M61" i="7"/>
  <c r="M67" i="7" s="1"/>
  <c r="N61" i="16"/>
  <c r="N67" i="16" s="1"/>
  <c r="N61" i="19"/>
  <c r="J53" i="15"/>
  <c r="N53" i="15"/>
  <c r="L59" i="29"/>
  <c r="O17" i="45"/>
  <c r="P17" i="45" s="1"/>
  <c r="T17" i="45" s="1"/>
  <c r="P17" i="46"/>
  <c r="Q10" i="45"/>
  <c r="P10" i="46"/>
  <c r="Q11" i="45"/>
  <c r="P11" i="46"/>
  <c r="Q12" i="45"/>
  <c r="P12" i="46"/>
  <c r="Q9" i="45"/>
  <c r="P9" i="46"/>
  <c r="Q7" i="45"/>
  <c r="S7" i="46"/>
  <c r="T7" i="46" s="1"/>
  <c r="V7" i="46" s="1"/>
  <c r="O35" i="29"/>
  <c r="O43" i="5"/>
  <c r="X5" i="45"/>
  <c r="P49" i="7"/>
  <c r="P50" i="29"/>
  <c r="K53" i="8"/>
  <c r="O53" i="8"/>
  <c r="K53" i="5"/>
  <c r="O53" i="5"/>
  <c r="L57" i="24"/>
  <c r="P57" i="24"/>
  <c r="L57" i="13"/>
  <c r="P57" i="13"/>
  <c r="L57" i="10"/>
  <c r="P57" i="10"/>
  <c r="L57" i="7"/>
  <c r="P57" i="7"/>
  <c r="K53" i="25"/>
  <c r="O53" i="25"/>
  <c r="L58" i="17"/>
  <c r="L61" i="29" s="1"/>
  <c r="P58" i="17"/>
  <c r="P61" i="29" s="1"/>
  <c r="T61" i="29" s="1"/>
  <c r="J53" i="21"/>
  <c r="N53" i="21"/>
  <c r="Q22" i="45"/>
  <c r="P22" i="46"/>
  <c r="Q18" i="45"/>
  <c r="P18" i="46"/>
  <c r="Q8" i="45"/>
  <c r="P8" i="46"/>
  <c r="R14" i="45"/>
  <c r="P14" i="46"/>
  <c r="R15" i="45"/>
  <c r="P15" i="46"/>
  <c r="R6" i="45"/>
  <c r="R7" i="45"/>
  <c r="P69" i="16"/>
  <c r="F114" i="49" s="1"/>
  <c r="J114" i="49" s="1"/>
  <c r="M69" i="8"/>
  <c r="C116" i="49" s="1"/>
  <c r="G116" i="49" s="1"/>
  <c r="U5" i="46"/>
  <c r="O49" i="12"/>
  <c r="O50" i="29"/>
  <c r="F5" i="52"/>
  <c r="E26" i="52"/>
  <c r="P35" i="29"/>
  <c r="T35" i="29" s="1"/>
  <c r="T46" i="29" s="1"/>
  <c r="P43" i="5"/>
  <c r="N43" i="14"/>
  <c r="N35" i="29"/>
  <c r="R35" i="29" s="1"/>
  <c r="L53" i="8"/>
  <c r="P53" i="8"/>
  <c r="L53" i="5"/>
  <c r="P53" i="5"/>
  <c r="J57" i="24"/>
  <c r="N57" i="24"/>
  <c r="J57" i="13"/>
  <c r="N57" i="13"/>
  <c r="J57" i="10"/>
  <c r="N57" i="10"/>
  <c r="K57" i="21"/>
  <c r="O57" i="21"/>
  <c r="K57" i="9"/>
  <c r="O57" i="9"/>
  <c r="J57" i="7"/>
  <c r="N57" i="7"/>
  <c r="K57" i="20"/>
  <c r="O57" i="20"/>
  <c r="O61" i="16"/>
  <c r="O67" i="16" s="1"/>
  <c r="J53" i="25"/>
  <c r="N53" i="25"/>
  <c r="K58" i="17"/>
  <c r="K61" i="29" s="1"/>
  <c r="O58" i="17"/>
  <c r="O61" i="29" s="1"/>
  <c r="S61" i="29" s="1"/>
  <c r="J58" i="29"/>
  <c r="K53" i="15"/>
  <c r="O53" i="15"/>
  <c r="K53" i="21"/>
  <c r="O53" i="21"/>
  <c r="R19" i="45"/>
  <c r="P19" i="46"/>
  <c r="R23" i="45"/>
  <c r="P23" i="46"/>
  <c r="Q25" i="45"/>
  <c r="P25" i="46"/>
  <c r="Q21" i="45"/>
  <c r="P21" i="46"/>
  <c r="R20" i="45"/>
  <c r="O58" i="29"/>
  <c r="S58" i="29" s="1"/>
  <c r="M35" i="29"/>
  <c r="Q35" i="29" s="1"/>
  <c r="Q46" i="29" s="1"/>
  <c r="Q5" i="46"/>
  <c r="K49" i="12"/>
  <c r="K50" i="29"/>
  <c r="K52" i="29" s="1"/>
  <c r="O29" i="20"/>
  <c r="P29" i="8"/>
  <c r="O29" i="24"/>
  <c r="N29" i="26"/>
  <c r="O29" i="14"/>
  <c r="O29" i="12"/>
  <c r="I43" i="24"/>
  <c r="I69" i="16"/>
  <c r="I43" i="17"/>
  <c r="H32" i="29"/>
  <c r="I43" i="25"/>
  <c r="S13" i="45"/>
  <c r="R12" i="45"/>
  <c r="Q14" i="45"/>
  <c r="R25" i="45"/>
  <c r="Q23" i="45"/>
  <c r="R8" i="45"/>
  <c r="R17" i="45"/>
  <c r="R22" i="45"/>
  <c r="R9" i="45"/>
  <c r="R16" i="45"/>
  <c r="R24" i="45"/>
  <c r="R21" i="45"/>
  <c r="R11" i="45"/>
  <c r="R13" i="45"/>
  <c r="O20" i="45"/>
  <c r="P20" i="45" s="1"/>
  <c r="Q17" i="45"/>
  <c r="Q15" i="45"/>
  <c r="Q13" i="45"/>
  <c r="Q19" i="45"/>
  <c r="O22" i="45"/>
  <c r="P22" i="45" s="1"/>
  <c r="O18" i="45"/>
  <c r="P18" i="45" s="1"/>
  <c r="O25" i="45"/>
  <c r="P25" i="45" s="1"/>
  <c r="O9" i="45"/>
  <c r="P9" i="45" s="1"/>
  <c r="O8" i="45"/>
  <c r="P8" i="45" s="1"/>
  <c r="O19" i="45"/>
  <c r="P19" i="45" s="1"/>
  <c r="O23" i="45"/>
  <c r="P23" i="45" s="1"/>
  <c r="O15" i="45"/>
  <c r="P15" i="45" s="1"/>
  <c r="O7" i="45"/>
  <c r="P7" i="45" s="1"/>
  <c r="O14" i="45"/>
  <c r="P14" i="45" s="1"/>
  <c r="O21" i="45"/>
  <c r="P21" i="45" s="1"/>
  <c r="O16" i="45"/>
  <c r="P16" i="45" s="1"/>
  <c r="O12" i="45"/>
  <c r="P12" i="45" s="1"/>
  <c r="O10" i="45"/>
  <c r="P10" i="45" s="1"/>
  <c r="O11" i="45"/>
  <c r="P11" i="45" s="1"/>
  <c r="O24" i="45"/>
  <c r="P24" i="45" s="1"/>
  <c r="N26" i="45"/>
  <c r="W33" i="45" s="1"/>
  <c r="O6" i="45"/>
  <c r="P6" i="45" s="1"/>
  <c r="I26" i="46"/>
  <c r="J6" i="46"/>
  <c r="J26" i="46" s="1"/>
  <c r="C61" i="25"/>
  <c r="C67" i="25" s="1"/>
  <c r="I24" i="49" s="1"/>
  <c r="E52" i="24"/>
  <c r="M52" i="24" s="1"/>
  <c r="G32" i="29"/>
  <c r="H6" i="46"/>
  <c r="M32" i="29"/>
  <c r="O16" i="29"/>
  <c r="O29" i="5"/>
  <c r="N29" i="5"/>
  <c r="N16" i="29"/>
  <c r="P16" i="29"/>
  <c r="P29" i="12"/>
  <c r="F14" i="29"/>
  <c r="G61" i="29"/>
  <c r="G52" i="5"/>
  <c r="H14" i="29"/>
  <c r="J43" i="12"/>
  <c r="L43" i="12"/>
  <c r="L35" i="29"/>
  <c r="L46" i="29" s="1"/>
  <c r="F61" i="29"/>
  <c r="H61" i="29"/>
  <c r="K43" i="12"/>
  <c r="K35" i="29"/>
  <c r="K46" i="29" s="1"/>
  <c r="I43" i="12"/>
  <c r="I35" i="29"/>
  <c r="I46" i="29" s="1"/>
  <c r="H52" i="5"/>
  <c r="D52" i="5"/>
  <c r="F52" i="5"/>
  <c r="C143" i="13"/>
  <c r="C34" i="13" s="1"/>
  <c r="G19" i="49" s="1"/>
  <c r="C34" i="5"/>
  <c r="G5" i="49" s="1"/>
  <c r="C143" i="24"/>
  <c r="C34" i="24" s="1"/>
  <c r="G23" i="49" s="1"/>
  <c r="C143" i="14"/>
  <c r="C34" i="14" s="1"/>
  <c r="G7" i="49" s="1"/>
  <c r="C143" i="26"/>
  <c r="C34" i="26" s="1"/>
  <c r="G25" i="49" s="1"/>
  <c r="C143" i="9"/>
  <c r="C34" i="9" s="1"/>
  <c r="G16" i="49" s="1"/>
  <c r="C143" i="17"/>
  <c r="C34" i="17" s="1"/>
  <c r="G12" i="49" s="1"/>
  <c r="C143" i="16"/>
  <c r="C34" i="16" s="1"/>
  <c r="G13" i="49" s="1"/>
  <c r="C143" i="25"/>
  <c r="C34" i="25" s="1"/>
  <c r="G24" i="49" s="1"/>
  <c r="C143" i="8"/>
  <c r="C34" i="8" s="1"/>
  <c r="G15" i="49" s="1"/>
  <c r="C143" i="19"/>
  <c r="C34" i="19" s="1"/>
  <c r="G9" i="49" s="1"/>
  <c r="C143" i="15"/>
  <c r="C34" i="15" s="1"/>
  <c r="G11" i="49" s="1"/>
  <c r="C143" i="10"/>
  <c r="C34" i="10" s="1"/>
  <c r="G17" i="49" s="1"/>
  <c r="C143" i="20"/>
  <c r="C34" i="20" s="1"/>
  <c r="G8" i="49" s="1"/>
  <c r="C143" i="21"/>
  <c r="C34" i="21" s="1"/>
  <c r="G20" i="49" s="1"/>
  <c r="C143" i="7"/>
  <c r="C34" i="7" s="1"/>
  <c r="G14" i="49" s="1"/>
  <c r="C143" i="18"/>
  <c r="C34" i="18" s="1"/>
  <c r="G10" i="49" s="1"/>
  <c r="C143" i="11"/>
  <c r="C34" i="11" s="1"/>
  <c r="G18" i="49" s="1"/>
  <c r="C143" i="23"/>
  <c r="C34" i="23" s="1"/>
  <c r="G22" i="49" s="1"/>
  <c r="C143" i="22"/>
  <c r="C34" i="22" s="1"/>
  <c r="G21" i="49" s="1"/>
  <c r="C143" i="12"/>
  <c r="C34" i="12" s="1"/>
  <c r="G6" i="49" s="1"/>
  <c r="G121" i="23"/>
  <c r="E53" i="26"/>
  <c r="C61" i="26"/>
  <c r="C67" i="26" s="1"/>
  <c r="I25" i="49" s="1"/>
  <c r="C54" i="5"/>
  <c r="N78" i="49" s="1"/>
  <c r="O78" i="49" s="1"/>
  <c r="P78" i="49" s="1"/>
  <c r="C52" i="12"/>
  <c r="E52" i="25"/>
  <c r="M52" i="25" s="1"/>
  <c r="M61" i="25" s="1"/>
  <c r="M67" i="25" s="1"/>
  <c r="K52" i="10"/>
  <c r="L52" i="10"/>
  <c r="K52" i="26"/>
  <c r="L52" i="26"/>
  <c r="G52" i="22"/>
  <c r="O52" i="22" s="1"/>
  <c r="D52" i="22"/>
  <c r="D61" i="22" s="1"/>
  <c r="D67" i="22" s="1"/>
  <c r="F52" i="22"/>
  <c r="N52" i="22" s="1"/>
  <c r="N61" i="22" s="1"/>
  <c r="N67" i="22" s="1"/>
  <c r="H52" i="22"/>
  <c r="P52" i="22" s="1"/>
  <c r="I52" i="22"/>
  <c r="E61" i="22"/>
  <c r="E67" i="22" s="1"/>
  <c r="J52" i="13"/>
  <c r="J52" i="14"/>
  <c r="K52" i="14"/>
  <c r="H14" i="34"/>
  <c r="H19" i="34"/>
  <c r="G52" i="11"/>
  <c r="O52" i="11" s="1"/>
  <c r="D52" i="11"/>
  <c r="D61" i="11" s="1"/>
  <c r="D67" i="11" s="1"/>
  <c r="F52" i="11"/>
  <c r="N52" i="11" s="1"/>
  <c r="H52" i="11"/>
  <c r="P52" i="11" s="1"/>
  <c r="I52" i="11"/>
  <c r="E61" i="11"/>
  <c r="E67" i="11" s="1"/>
  <c r="F52" i="7"/>
  <c r="N52" i="7" s="1"/>
  <c r="H52" i="7"/>
  <c r="P52" i="7" s="1"/>
  <c r="P61" i="7" s="1"/>
  <c r="P67" i="7" s="1"/>
  <c r="I52" i="7"/>
  <c r="G52" i="7"/>
  <c r="O52" i="7" s="1"/>
  <c r="D52" i="7"/>
  <c r="D61" i="7" s="1"/>
  <c r="D67" i="7" s="1"/>
  <c r="E61" i="7"/>
  <c r="E67" i="7" s="1"/>
  <c r="H11" i="34"/>
  <c r="G52" i="18"/>
  <c r="O52" i="18" s="1"/>
  <c r="O61" i="18" s="1"/>
  <c r="O67" i="18" s="1"/>
  <c r="D52" i="18"/>
  <c r="D61" i="18" s="1"/>
  <c r="D67" i="18" s="1"/>
  <c r="F52" i="18"/>
  <c r="N52" i="18" s="1"/>
  <c r="N61" i="18" s="1"/>
  <c r="N67" i="18" s="1"/>
  <c r="H52" i="18"/>
  <c r="P52" i="18" s="1"/>
  <c r="P61" i="18" s="1"/>
  <c r="P67" i="18" s="1"/>
  <c r="I52" i="18"/>
  <c r="E61" i="18"/>
  <c r="E67" i="18" s="1"/>
  <c r="H39" i="34"/>
  <c r="L52" i="16"/>
  <c r="H61" i="16"/>
  <c r="H67" i="16" s="1"/>
  <c r="K52" i="19"/>
  <c r="G61" i="19"/>
  <c r="L52" i="19"/>
  <c r="H61" i="19"/>
  <c r="H10" i="34"/>
  <c r="F52" i="23"/>
  <c r="N52" i="23" s="1"/>
  <c r="H52" i="23"/>
  <c r="P52" i="23" s="1"/>
  <c r="I52" i="23"/>
  <c r="G52" i="23"/>
  <c r="O52" i="23" s="1"/>
  <c r="D52" i="23"/>
  <c r="J52" i="10"/>
  <c r="J52" i="26"/>
  <c r="G57" i="14"/>
  <c r="O57" i="14" s="1"/>
  <c r="D57" i="14"/>
  <c r="F57" i="14"/>
  <c r="N57" i="14" s="1"/>
  <c r="H57" i="14"/>
  <c r="P57" i="14" s="1"/>
  <c r="E60" i="29"/>
  <c r="D60" i="29" s="1"/>
  <c r="E53" i="13"/>
  <c r="C61" i="13"/>
  <c r="C67" i="13" s="1"/>
  <c r="I19" i="49" s="1"/>
  <c r="E53" i="10"/>
  <c r="C61" i="10"/>
  <c r="C67" i="10" s="1"/>
  <c r="I17" i="49" s="1"/>
  <c r="E53" i="9"/>
  <c r="C61" i="9"/>
  <c r="C67" i="9" s="1"/>
  <c r="I16" i="49" s="1"/>
  <c r="E53" i="14"/>
  <c r="C61" i="14"/>
  <c r="H20" i="34"/>
  <c r="K52" i="13"/>
  <c r="L52" i="13"/>
  <c r="L52" i="14"/>
  <c r="G52" i="8"/>
  <c r="O52" i="8" s="1"/>
  <c r="D52" i="8"/>
  <c r="D61" i="8" s="1"/>
  <c r="D67" i="8" s="1"/>
  <c r="F52" i="8"/>
  <c r="N52" i="8" s="1"/>
  <c r="H52" i="8"/>
  <c r="P52" i="8" s="1"/>
  <c r="I52" i="8"/>
  <c r="E61" i="8"/>
  <c r="E67" i="8" s="1"/>
  <c r="F52" i="21"/>
  <c r="N52" i="21" s="1"/>
  <c r="H52" i="21"/>
  <c r="P52" i="21" s="1"/>
  <c r="I52" i="21"/>
  <c r="G52" i="21"/>
  <c r="O52" i="21" s="1"/>
  <c r="O61" i="21" s="1"/>
  <c r="O67" i="21" s="1"/>
  <c r="D52" i="21"/>
  <c r="D61" i="21" s="1"/>
  <c r="D67" i="21" s="1"/>
  <c r="E61" i="21"/>
  <c r="E67" i="21" s="1"/>
  <c r="H17" i="34"/>
  <c r="H13" i="34"/>
  <c r="F52" i="17"/>
  <c r="N52" i="17" s="1"/>
  <c r="H52" i="17"/>
  <c r="P52" i="17" s="1"/>
  <c r="I52" i="17"/>
  <c r="I61" i="17" s="1"/>
  <c r="I67" i="17" s="1"/>
  <c r="G52" i="17"/>
  <c r="O52" i="17" s="1"/>
  <c r="D52" i="17"/>
  <c r="D61" i="17" s="1"/>
  <c r="D67" i="17" s="1"/>
  <c r="E61" i="17"/>
  <c r="E67" i="17" s="1"/>
  <c r="H9" i="34"/>
  <c r="G52" i="20"/>
  <c r="O52" i="20" s="1"/>
  <c r="D52" i="20"/>
  <c r="D61" i="20" s="1"/>
  <c r="F52" i="20"/>
  <c r="N52" i="20" s="1"/>
  <c r="H52" i="20"/>
  <c r="P52" i="20" s="1"/>
  <c r="I52" i="20"/>
  <c r="E61" i="20"/>
  <c r="J52" i="16"/>
  <c r="F61" i="16"/>
  <c r="F67" i="16" s="1"/>
  <c r="K52" i="16"/>
  <c r="G61" i="16"/>
  <c r="G67" i="16" s="1"/>
  <c r="J52" i="19"/>
  <c r="F61" i="19"/>
  <c r="F52" i="15"/>
  <c r="N52" i="15" s="1"/>
  <c r="H52" i="15"/>
  <c r="P52" i="15" s="1"/>
  <c r="I52" i="15"/>
  <c r="I61" i="15" s="1"/>
  <c r="I67" i="15" s="1"/>
  <c r="G52" i="15"/>
  <c r="O52" i="15" s="1"/>
  <c r="D52" i="15"/>
  <c r="D61" i="15" s="1"/>
  <c r="D67" i="15" s="1"/>
  <c r="E61" i="15"/>
  <c r="E67" i="15" s="1"/>
  <c r="C52" i="34"/>
  <c r="I47" i="30" l="1"/>
  <c r="J27" i="30"/>
  <c r="K27" i="30" s="1"/>
  <c r="S17" i="45"/>
  <c r="P26" i="46"/>
  <c r="N69" i="16"/>
  <c r="D114" i="49" s="1"/>
  <c r="H114" i="49" s="1"/>
  <c r="P61" i="15"/>
  <c r="P67" i="15" s="1"/>
  <c r="N61" i="8"/>
  <c r="N67" i="8" s="1"/>
  <c r="N61" i="21"/>
  <c r="N67" i="21" s="1"/>
  <c r="P61" i="20"/>
  <c r="M69" i="15"/>
  <c r="C112" i="49" s="1"/>
  <c r="G112" i="49" s="1"/>
  <c r="N61" i="15"/>
  <c r="N67" i="15" s="1"/>
  <c r="P46" i="29"/>
  <c r="P60" i="29"/>
  <c r="T60" i="29" s="1"/>
  <c r="N69" i="22"/>
  <c r="D122" i="49" s="1"/>
  <c r="H122" i="49" s="1"/>
  <c r="M69" i="25"/>
  <c r="C125" i="49" s="1"/>
  <c r="G125" i="49" s="1"/>
  <c r="M69" i="21"/>
  <c r="C121" i="49" s="1"/>
  <c r="G121" i="49" s="1"/>
  <c r="N60" i="29"/>
  <c r="R60" i="29" s="1"/>
  <c r="H52" i="24"/>
  <c r="P52" i="24" s="1"/>
  <c r="N61" i="20"/>
  <c r="P61" i="17"/>
  <c r="P67" i="17" s="1"/>
  <c r="P61" i="21"/>
  <c r="P67" i="21" s="1"/>
  <c r="O60" i="29"/>
  <c r="S60" i="29" s="1"/>
  <c r="O69" i="21"/>
  <c r="E121" i="49" s="1"/>
  <c r="I121" i="49" s="1"/>
  <c r="M69" i="17"/>
  <c r="C113" i="49" s="1"/>
  <c r="G113" i="49" s="1"/>
  <c r="N61" i="17"/>
  <c r="N67" i="17" s="1"/>
  <c r="I53" i="10"/>
  <c r="I61" i="10" s="1"/>
  <c r="I67" i="10" s="1"/>
  <c r="M53" i="10"/>
  <c r="O61" i="7"/>
  <c r="O67" i="7" s="1"/>
  <c r="O61" i="22"/>
  <c r="O67" i="22" s="1"/>
  <c r="K52" i="5"/>
  <c r="O52" i="5"/>
  <c r="V15" i="45"/>
  <c r="W15" i="45"/>
  <c r="X15" i="45" s="1"/>
  <c r="U15" i="45"/>
  <c r="U18" i="45"/>
  <c r="V18" i="45"/>
  <c r="W18" i="45"/>
  <c r="X18" i="45" s="1"/>
  <c r="U9" i="45"/>
  <c r="V9" i="45"/>
  <c r="W9" i="45"/>
  <c r="X9" i="45" s="1"/>
  <c r="V11" i="45"/>
  <c r="W11" i="45"/>
  <c r="X11" i="45" s="1"/>
  <c r="U11" i="45"/>
  <c r="AA7" i="46"/>
  <c r="AB7" i="46" s="1"/>
  <c r="W7" i="46"/>
  <c r="X7" i="46" s="1"/>
  <c r="R7" i="46"/>
  <c r="W24" i="45"/>
  <c r="X24" i="45" s="1"/>
  <c r="V24" i="45"/>
  <c r="U24" i="45"/>
  <c r="W16" i="45"/>
  <c r="X16" i="45" s="1"/>
  <c r="U16" i="45"/>
  <c r="V16" i="45"/>
  <c r="U6" i="45"/>
  <c r="V6" i="45"/>
  <c r="W6" i="45"/>
  <c r="O61" i="20"/>
  <c r="P61" i="22"/>
  <c r="P67" i="22" s="1"/>
  <c r="P69" i="18"/>
  <c r="F111" i="49" s="1"/>
  <c r="J111" i="49" s="1"/>
  <c r="U21" i="46"/>
  <c r="Q21" i="46"/>
  <c r="S21" i="46"/>
  <c r="T21" i="46" s="1"/>
  <c r="V21" i="46" s="1"/>
  <c r="S15" i="46"/>
  <c r="T15" i="46" s="1"/>
  <c r="V15" i="46" s="1"/>
  <c r="U15" i="46"/>
  <c r="Q15" i="46"/>
  <c r="T50" i="29"/>
  <c r="T52" i="29" s="1"/>
  <c r="P52" i="29"/>
  <c r="N69" i="15"/>
  <c r="D112" i="49" s="1"/>
  <c r="H112" i="49" s="1"/>
  <c r="S12" i="46"/>
  <c r="T12" i="46" s="1"/>
  <c r="V12" i="46" s="1"/>
  <c r="Q12" i="46"/>
  <c r="U12" i="46"/>
  <c r="Q10" i="46"/>
  <c r="S10" i="46"/>
  <c r="T10" i="46" s="1"/>
  <c r="V10" i="46" s="1"/>
  <c r="U10" i="46"/>
  <c r="Q50" i="29"/>
  <c r="Q52" i="29" s="1"/>
  <c r="M52" i="29"/>
  <c r="Q13" i="46"/>
  <c r="S13" i="46"/>
  <c r="T13" i="46" s="1"/>
  <c r="V13" i="46" s="1"/>
  <c r="U13" i="46"/>
  <c r="U20" i="46"/>
  <c r="Q20" i="46"/>
  <c r="S20" i="46"/>
  <c r="T20" i="46" s="1"/>
  <c r="V20" i="46" s="1"/>
  <c r="D52" i="24"/>
  <c r="O61" i="15"/>
  <c r="O67" i="15" s="1"/>
  <c r="O61" i="8"/>
  <c r="I53" i="9"/>
  <c r="I61" i="9" s="1"/>
  <c r="I67" i="9" s="1"/>
  <c r="M53" i="9"/>
  <c r="I53" i="13"/>
  <c r="I61" i="13" s="1"/>
  <c r="I67" i="13" s="1"/>
  <c r="M53" i="13"/>
  <c r="P61" i="11"/>
  <c r="P67" i="11" s="1"/>
  <c r="L52" i="5"/>
  <c r="P52" i="5"/>
  <c r="V19" i="45"/>
  <c r="W19" i="45"/>
  <c r="X19" i="45" s="1"/>
  <c r="U19" i="45"/>
  <c r="U14" i="45"/>
  <c r="V14" i="45"/>
  <c r="W14" i="45"/>
  <c r="X14" i="45" s="1"/>
  <c r="O69" i="18"/>
  <c r="E111" i="49" s="1"/>
  <c r="I111" i="49" s="1"/>
  <c r="O69" i="16"/>
  <c r="E114" i="49" s="1"/>
  <c r="I114" i="49" s="1"/>
  <c r="U21" i="45"/>
  <c r="V21" i="45"/>
  <c r="W21" i="45"/>
  <c r="X21" i="45" s="1"/>
  <c r="G5" i="52"/>
  <c r="G26" i="52" s="1"/>
  <c r="J5" i="52"/>
  <c r="J26" i="52" s="1"/>
  <c r="F26" i="52"/>
  <c r="W8" i="45"/>
  <c r="X8" i="45" s="1"/>
  <c r="U8" i="45"/>
  <c r="V8" i="45"/>
  <c r="U22" i="45"/>
  <c r="V22" i="45"/>
  <c r="W22" i="45"/>
  <c r="X22" i="45" s="1"/>
  <c r="P69" i="7"/>
  <c r="F115" i="49" s="1"/>
  <c r="J115" i="49" s="1"/>
  <c r="P69" i="15"/>
  <c r="F112" i="49" s="1"/>
  <c r="J112" i="49" s="1"/>
  <c r="V7" i="45"/>
  <c r="W7" i="45"/>
  <c r="X7" i="45" s="1"/>
  <c r="U7" i="45"/>
  <c r="W12" i="45"/>
  <c r="X12" i="45" s="1"/>
  <c r="V12" i="45"/>
  <c r="U12" i="45"/>
  <c r="U10" i="45"/>
  <c r="V10" i="45"/>
  <c r="W10" i="45"/>
  <c r="X10" i="45" s="1"/>
  <c r="W20" i="45"/>
  <c r="X20" i="45" s="1"/>
  <c r="V20" i="45"/>
  <c r="U20" i="45"/>
  <c r="M69" i="7"/>
  <c r="C115" i="49" s="1"/>
  <c r="G115" i="49" s="1"/>
  <c r="I53" i="14"/>
  <c r="I61" i="14" s="1"/>
  <c r="M53" i="14"/>
  <c r="J52" i="5"/>
  <c r="N52" i="5"/>
  <c r="V23" i="45"/>
  <c r="W23" i="45"/>
  <c r="X23" i="45" s="1"/>
  <c r="U23" i="45"/>
  <c r="U25" i="45"/>
  <c r="V25" i="45"/>
  <c r="W25" i="45"/>
  <c r="X25" i="45" s="1"/>
  <c r="F52" i="24"/>
  <c r="N52" i="24" s="1"/>
  <c r="O61" i="17"/>
  <c r="O67" i="17" s="1"/>
  <c r="O61" i="11"/>
  <c r="O67" i="11" s="1"/>
  <c r="I53" i="26"/>
  <c r="I61" i="26" s="1"/>
  <c r="I67" i="26" s="1"/>
  <c r="M53" i="26"/>
  <c r="U17" i="45"/>
  <c r="V17" i="45"/>
  <c r="W17" i="45"/>
  <c r="X17" i="45" s="1"/>
  <c r="S23" i="46"/>
  <c r="T23" i="46" s="1"/>
  <c r="V23" i="46" s="1"/>
  <c r="U23" i="46"/>
  <c r="Q23" i="46"/>
  <c r="Q8" i="46"/>
  <c r="U8" i="46"/>
  <c r="S8" i="46"/>
  <c r="T8" i="46" s="1"/>
  <c r="V8" i="46" s="1"/>
  <c r="Q22" i="46"/>
  <c r="S22" i="46"/>
  <c r="T22" i="46" s="1"/>
  <c r="V22" i="46" s="1"/>
  <c r="U22" i="46"/>
  <c r="I52" i="24"/>
  <c r="G52" i="24"/>
  <c r="O52" i="24" s="1"/>
  <c r="P61" i="8"/>
  <c r="P67" i="8" s="1"/>
  <c r="N61" i="7"/>
  <c r="N67" i="7" s="1"/>
  <c r="N61" i="11"/>
  <c r="N67" i="11" s="1"/>
  <c r="M46" i="29"/>
  <c r="U13" i="45"/>
  <c r="V13" i="45"/>
  <c r="W13" i="45"/>
  <c r="X13" i="45" s="1"/>
  <c r="N69" i="18"/>
  <c r="D111" i="49" s="1"/>
  <c r="H111" i="49" s="1"/>
  <c r="AA5" i="46"/>
  <c r="R5" i="46"/>
  <c r="W5" i="46"/>
  <c r="U25" i="46"/>
  <c r="Q25" i="46"/>
  <c r="S25" i="46"/>
  <c r="T25" i="46" s="1"/>
  <c r="V25" i="46" s="1"/>
  <c r="U19" i="46"/>
  <c r="Q19" i="46"/>
  <c r="S19" i="46"/>
  <c r="T19" i="46" s="1"/>
  <c r="V19" i="46" s="1"/>
  <c r="S50" i="29"/>
  <c r="S52" i="29" s="1"/>
  <c r="O52" i="29"/>
  <c r="Q14" i="46"/>
  <c r="S14" i="46"/>
  <c r="T14" i="46" s="1"/>
  <c r="V14" i="46" s="1"/>
  <c r="U14" i="46"/>
  <c r="Q18" i="46"/>
  <c r="U18" i="46"/>
  <c r="S18" i="46"/>
  <c r="T18" i="46" s="1"/>
  <c r="V18" i="46" s="1"/>
  <c r="S35" i="29"/>
  <c r="S46" i="29" s="1"/>
  <c r="O46" i="29"/>
  <c r="U9" i="46"/>
  <c r="Q9" i="46"/>
  <c r="S9" i="46"/>
  <c r="T9" i="46" s="1"/>
  <c r="V9" i="46" s="1"/>
  <c r="U11" i="46"/>
  <c r="Q11" i="46"/>
  <c r="S11" i="46"/>
  <c r="T11" i="46" s="1"/>
  <c r="V11" i="46" s="1"/>
  <c r="S17" i="46"/>
  <c r="T17" i="46" s="1"/>
  <c r="V17" i="46" s="1"/>
  <c r="U17" i="46"/>
  <c r="Q17" i="46"/>
  <c r="T5" i="46"/>
  <c r="U24" i="46"/>
  <c r="Q24" i="46"/>
  <c r="S24" i="46"/>
  <c r="T24" i="46" s="1"/>
  <c r="V24" i="46" s="1"/>
  <c r="Q16" i="46"/>
  <c r="S16" i="46"/>
  <c r="T16" i="46" s="1"/>
  <c r="V16" i="46" s="1"/>
  <c r="U16" i="46"/>
  <c r="S6" i="46"/>
  <c r="T6" i="46" s="1"/>
  <c r="V6" i="46" s="1"/>
  <c r="Q6" i="46"/>
  <c r="U6" i="46"/>
  <c r="I69" i="15"/>
  <c r="I69" i="17"/>
  <c r="I61" i="21"/>
  <c r="I67" i="21" s="1"/>
  <c r="I61" i="18"/>
  <c r="I67" i="18" s="1"/>
  <c r="L61" i="19"/>
  <c r="I61" i="7"/>
  <c r="I67" i="7" s="1"/>
  <c r="K61" i="19"/>
  <c r="I61" i="22"/>
  <c r="I67" i="22" s="1"/>
  <c r="K61" i="16"/>
  <c r="K67" i="16" s="1"/>
  <c r="I61" i="8"/>
  <c r="I67" i="8" s="1"/>
  <c r="J61" i="16"/>
  <c r="J67" i="16" s="1"/>
  <c r="I61" i="20"/>
  <c r="L61" i="16"/>
  <c r="L67" i="16" s="1"/>
  <c r="I61" i="11"/>
  <c r="J61" i="19"/>
  <c r="S21" i="45"/>
  <c r="T21" i="45"/>
  <c r="S25" i="45"/>
  <c r="T25" i="45"/>
  <c r="S6" i="45"/>
  <c r="T6" i="45"/>
  <c r="S14" i="45"/>
  <c r="T14" i="45"/>
  <c r="S18" i="45"/>
  <c r="T18" i="45"/>
  <c r="S7" i="45"/>
  <c r="T7" i="45"/>
  <c r="S22" i="45"/>
  <c r="T22" i="45"/>
  <c r="S15" i="45"/>
  <c r="T15" i="45"/>
  <c r="T11" i="45"/>
  <c r="S11" i="45"/>
  <c r="R26" i="45"/>
  <c r="S8" i="45"/>
  <c r="T8" i="45"/>
  <c r="T20" i="45"/>
  <c r="S20" i="45"/>
  <c r="S24" i="45"/>
  <c r="T24" i="45"/>
  <c r="S23" i="45"/>
  <c r="T23" i="45"/>
  <c r="S10" i="45"/>
  <c r="T10" i="45"/>
  <c r="T19" i="45"/>
  <c r="S19" i="45"/>
  <c r="T12" i="45"/>
  <c r="S12" i="45"/>
  <c r="S16" i="45"/>
  <c r="T16" i="45"/>
  <c r="S9" i="45"/>
  <c r="T9" i="45"/>
  <c r="O26" i="45"/>
  <c r="Q26" i="45"/>
  <c r="G91" i="49"/>
  <c r="J18" i="49"/>
  <c r="D91" i="49" s="1"/>
  <c r="J15" i="49"/>
  <c r="D88" i="49" s="1"/>
  <c r="G88" i="49"/>
  <c r="G26" i="49"/>
  <c r="R15" i="49" s="1"/>
  <c r="T15" i="49" s="1"/>
  <c r="G78" i="49"/>
  <c r="G83" i="49"/>
  <c r="J10" i="49"/>
  <c r="D83" i="49" s="1"/>
  <c r="G97" i="49"/>
  <c r="J24" i="49"/>
  <c r="D97" i="49" s="1"/>
  <c r="J19" i="49"/>
  <c r="D92" i="49" s="1"/>
  <c r="G92" i="49"/>
  <c r="G95" i="49"/>
  <c r="J13" i="49"/>
  <c r="D86" i="49" s="1"/>
  <c r="G86" i="49"/>
  <c r="G81" i="49"/>
  <c r="J16" i="49"/>
  <c r="D89" i="49" s="1"/>
  <c r="G89" i="49"/>
  <c r="G96" i="49"/>
  <c r="J20" i="49"/>
  <c r="D93" i="49" s="1"/>
  <c r="G93" i="49"/>
  <c r="G90" i="49"/>
  <c r="J17" i="49"/>
  <c r="D90" i="49" s="1"/>
  <c r="J25" i="49"/>
  <c r="D98" i="49" s="1"/>
  <c r="G98" i="49"/>
  <c r="G82" i="49"/>
  <c r="J14" i="49"/>
  <c r="D87" i="49" s="1"/>
  <c r="G87" i="49"/>
  <c r="J12" i="49"/>
  <c r="D85" i="49" s="1"/>
  <c r="G85" i="49"/>
  <c r="G79" i="49"/>
  <c r="J21" i="49"/>
  <c r="D94" i="49" s="1"/>
  <c r="G94" i="49"/>
  <c r="J11" i="49"/>
  <c r="D84" i="49" s="1"/>
  <c r="G84" i="49"/>
  <c r="G80" i="49"/>
  <c r="C57" i="29"/>
  <c r="G44" i="30" s="1"/>
  <c r="S16" i="29"/>
  <c r="S32" i="29" s="1"/>
  <c r="O32" i="29"/>
  <c r="R16" i="29"/>
  <c r="R32" i="29" s="1"/>
  <c r="N32" i="29"/>
  <c r="T16" i="29"/>
  <c r="T32" i="29" s="1"/>
  <c r="P32" i="29"/>
  <c r="F34" i="12"/>
  <c r="F43" i="12" s="1"/>
  <c r="G34" i="12"/>
  <c r="G43" i="12" s="1"/>
  <c r="H34" i="12"/>
  <c r="H43" i="12" s="1"/>
  <c r="F34" i="21"/>
  <c r="F43" i="21" s="1"/>
  <c r="G34" i="21"/>
  <c r="G43" i="21" s="1"/>
  <c r="H34" i="21"/>
  <c r="H43" i="21" s="1"/>
  <c r="G34" i="17"/>
  <c r="G43" i="17" s="1"/>
  <c r="H34" i="17"/>
  <c r="H43" i="17" s="1"/>
  <c r="F34" i="17"/>
  <c r="F43" i="17" s="1"/>
  <c r="G34" i="20"/>
  <c r="G43" i="20" s="1"/>
  <c r="H34" i="20"/>
  <c r="H43" i="20" s="1"/>
  <c r="F34" i="20"/>
  <c r="F43" i="20" s="1"/>
  <c r="G34" i="9"/>
  <c r="G43" i="9" s="1"/>
  <c r="H34" i="9"/>
  <c r="H43" i="9" s="1"/>
  <c r="F34" i="9"/>
  <c r="F43" i="9" s="1"/>
  <c r="F34" i="26"/>
  <c r="F43" i="26" s="1"/>
  <c r="G34" i="26"/>
  <c r="G43" i="26" s="1"/>
  <c r="H34" i="26"/>
  <c r="H43" i="26" s="1"/>
  <c r="G34" i="14"/>
  <c r="G43" i="14" s="1"/>
  <c r="H34" i="14"/>
  <c r="H43" i="14" s="1"/>
  <c r="F34" i="14"/>
  <c r="F43" i="14" s="1"/>
  <c r="G34" i="19"/>
  <c r="G43" i="19" s="1"/>
  <c r="F34" i="19"/>
  <c r="F43" i="19" s="1"/>
  <c r="H34" i="19"/>
  <c r="H43" i="19" s="1"/>
  <c r="F34" i="11"/>
  <c r="F43" i="11" s="1"/>
  <c r="G34" i="11"/>
  <c r="G43" i="11" s="1"/>
  <c r="H34" i="11"/>
  <c r="H43" i="11" s="1"/>
  <c r="H34" i="8"/>
  <c r="H43" i="8" s="1"/>
  <c r="G34" i="8"/>
  <c r="G43" i="8" s="1"/>
  <c r="F34" i="8"/>
  <c r="F43" i="8" s="1"/>
  <c r="G34" i="5"/>
  <c r="H34" i="5"/>
  <c r="G34" i="22"/>
  <c r="G43" i="22" s="1"/>
  <c r="F34" i="22"/>
  <c r="F43" i="22" s="1"/>
  <c r="H34" i="22"/>
  <c r="H43" i="22" s="1"/>
  <c r="G34" i="23"/>
  <c r="G43" i="23" s="1"/>
  <c r="H34" i="23"/>
  <c r="H43" i="23" s="1"/>
  <c r="F34" i="23"/>
  <c r="F43" i="23" s="1"/>
  <c r="H34" i="18"/>
  <c r="H43" i="18" s="1"/>
  <c r="G34" i="18"/>
  <c r="G43" i="18" s="1"/>
  <c r="F34" i="18"/>
  <c r="F43" i="18" s="1"/>
  <c r="F34" i="25"/>
  <c r="F43" i="25" s="1"/>
  <c r="G34" i="25"/>
  <c r="G43" i="25" s="1"/>
  <c r="H34" i="25"/>
  <c r="H43" i="25" s="1"/>
  <c r="H34" i="13"/>
  <c r="H43" i="13" s="1"/>
  <c r="F34" i="13"/>
  <c r="F43" i="13" s="1"/>
  <c r="G34" i="13"/>
  <c r="G43" i="13" s="1"/>
  <c r="G34" i="10"/>
  <c r="G43" i="10" s="1"/>
  <c r="F34" i="10"/>
  <c r="F43" i="10" s="1"/>
  <c r="H34" i="10"/>
  <c r="H43" i="10" s="1"/>
  <c r="H34" i="15"/>
  <c r="H43" i="15" s="1"/>
  <c r="G34" i="15"/>
  <c r="G43" i="15" s="1"/>
  <c r="F34" i="15"/>
  <c r="F43" i="15" s="1"/>
  <c r="G34" i="24"/>
  <c r="G43" i="24" s="1"/>
  <c r="H34" i="24"/>
  <c r="H43" i="24" s="1"/>
  <c r="F34" i="24"/>
  <c r="F43" i="24" s="1"/>
  <c r="G34" i="7"/>
  <c r="G43" i="7" s="1"/>
  <c r="H34" i="7"/>
  <c r="H43" i="7" s="1"/>
  <c r="F34" i="7"/>
  <c r="F43" i="7" s="1"/>
  <c r="F34" i="16"/>
  <c r="F43" i="16" s="1"/>
  <c r="F68" i="16" s="1"/>
  <c r="G34" i="16"/>
  <c r="G43" i="16" s="1"/>
  <c r="G68" i="16" s="1"/>
  <c r="H34" i="16"/>
  <c r="H43" i="16" s="1"/>
  <c r="H68" i="16" s="1"/>
  <c r="F60" i="29"/>
  <c r="J57" i="14"/>
  <c r="J60" i="29" s="1"/>
  <c r="G60" i="29"/>
  <c r="K57" i="14"/>
  <c r="K60" i="29" s="1"/>
  <c r="H60" i="29"/>
  <c r="L57" i="14"/>
  <c r="L60" i="29" s="1"/>
  <c r="E34" i="12"/>
  <c r="F5" i="34"/>
  <c r="C43" i="12"/>
  <c r="C43" i="23"/>
  <c r="E34" i="23"/>
  <c r="F21" i="34"/>
  <c r="F9" i="34"/>
  <c r="I9" i="34" s="1"/>
  <c r="J9" i="34" s="1"/>
  <c r="C43" i="18"/>
  <c r="C68" i="18" s="1"/>
  <c r="E34" i="18"/>
  <c r="E34" i="21"/>
  <c r="C43" i="21"/>
  <c r="C68" i="21" s="1"/>
  <c r="F19" i="34"/>
  <c r="I19" i="34" s="1"/>
  <c r="J19" i="34" s="1"/>
  <c r="C43" i="10"/>
  <c r="F16" i="34"/>
  <c r="E34" i="10"/>
  <c r="C43" i="19"/>
  <c r="F8" i="34"/>
  <c r="E34" i="19"/>
  <c r="F23" i="34"/>
  <c r="C43" i="25"/>
  <c r="E34" i="25"/>
  <c r="F11" i="34"/>
  <c r="I11" i="34" s="1"/>
  <c r="J11" i="34" s="1"/>
  <c r="C43" i="17"/>
  <c r="C68" i="17" s="1"/>
  <c r="E34" i="17"/>
  <c r="E34" i="26"/>
  <c r="C43" i="26"/>
  <c r="F24" i="34"/>
  <c r="F22" i="34"/>
  <c r="C43" i="24"/>
  <c r="E34" i="24"/>
  <c r="E34" i="13"/>
  <c r="F18" i="34"/>
  <c r="C43" i="13"/>
  <c r="E34" i="22"/>
  <c r="F20" i="34"/>
  <c r="I20" i="34" s="1"/>
  <c r="J20" i="34" s="1"/>
  <c r="C43" i="22"/>
  <c r="C68" i="22" s="1"/>
  <c r="E34" i="11"/>
  <c r="C43" i="11"/>
  <c r="C68" i="11" s="1"/>
  <c r="F17" i="34"/>
  <c r="I17" i="34" s="1"/>
  <c r="J17" i="34" s="1"/>
  <c r="E34" i="7"/>
  <c r="F13" i="34"/>
  <c r="I13" i="34" s="1"/>
  <c r="J13" i="34" s="1"/>
  <c r="C43" i="7"/>
  <c r="C68" i="7" s="1"/>
  <c r="F7" i="34"/>
  <c r="C43" i="20"/>
  <c r="E34" i="20"/>
  <c r="E34" i="15"/>
  <c r="F10" i="34"/>
  <c r="I10" i="34" s="1"/>
  <c r="J10" i="34" s="1"/>
  <c r="C43" i="15"/>
  <c r="C68" i="15" s="1"/>
  <c r="F14" i="34"/>
  <c r="I14" i="34" s="1"/>
  <c r="J14" i="34" s="1"/>
  <c r="E34" i="8"/>
  <c r="C43" i="8"/>
  <c r="C68" i="8" s="1"/>
  <c r="E34" i="16"/>
  <c r="F12" i="34"/>
  <c r="I12" i="34" s="1"/>
  <c r="J12" i="34" s="1"/>
  <c r="C43" i="16"/>
  <c r="C68" i="16" s="1"/>
  <c r="C43" i="9"/>
  <c r="F15" i="34"/>
  <c r="E34" i="9"/>
  <c r="E34" i="14"/>
  <c r="C43" i="14"/>
  <c r="F6" i="34"/>
  <c r="E34" i="5"/>
  <c r="C43" i="5"/>
  <c r="F4" i="34"/>
  <c r="C37" i="29"/>
  <c r="E52" i="12"/>
  <c r="C55" i="29"/>
  <c r="G42" i="30" s="1"/>
  <c r="D53" i="26"/>
  <c r="D61" i="26" s="1"/>
  <c r="D67" i="26" s="1"/>
  <c r="G53" i="26"/>
  <c r="O53" i="26" s="1"/>
  <c r="F53" i="26"/>
  <c r="N53" i="26" s="1"/>
  <c r="N61" i="26" s="1"/>
  <c r="N67" i="26" s="1"/>
  <c r="H53" i="26"/>
  <c r="P53" i="26" s="1"/>
  <c r="E61" i="26"/>
  <c r="E67" i="26" s="1"/>
  <c r="H24" i="34"/>
  <c r="E54" i="5"/>
  <c r="M54" i="5" s="1"/>
  <c r="M57" i="29" s="1"/>
  <c r="Q57" i="29" s="1"/>
  <c r="C61" i="5"/>
  <c r="C67" i="5" s="1"/>
  <c r="I5" i="49" s="1"/>
  <c r="J5" i="49" s="1"/>
  <c r="J52" i="15"/>
  <c r="F61" i="15"/>
  <c r="F67" i="15" s="1"/>
  <c r="J52" i="20"/>
  <c r="F61" i="20"/>
  <c r="K52" i="20"/>
  <c r="G61" i="20"/>
  <c r="J52" i="17"/>
  <c r="F61" i="17"/>
  <c r="F67" i="17" s="1"/>
  <c r="J52" i="21"/>
  <c r="F61" i="21"/>
  <c r="F67" i="21" s="1"/>
  <c r="J52" i="8"/>
  <c r="F61" i="8"/>
  <c r="F67" i="8" s="1"/>
  <c r="K52" i="8"/>
  <c r="G61" i="8"/>
  <c r="G67" i="8" s="1"/>
  <c r="H15" i="34"/>
  <c r="H16" i="34"/>
  <c r="H18" i="34"/>
  <c r="J52" i="23"/>
  <c r="H36" i="34"/>
  <c r="H61" i="18"/>
  <c r="H67" i="18" s="1"/>
  <c r="L52" i="18"/>
  <c r="H40" i="34"/>
  <c r="K52" i="7"/>
  <c r="G61" i="7"/>
  <c r="G67" i="7" s="1"/>
  <c r="H61" i="7"/>
  <c r="H67" i="7" s="1"/>
  <c r="L52" i="7"/>
  <c r="H44" i="34"/>
  <c r="H61" i="11"/>
  <c r="H67" i="11" s="1"/>
  <c r="L52" i="11"/>
  <c r="H47" i="34"/>
  <c r="H61" i="22"/>
  <c r="H67" i="22" s="1"/>
  <c r="L52" i="22"/>
  <c r="H23" i="34"/>
  <c r="H37" i="34"/>
  <c r="K52" i="15"/>
  <c r="G61" i="15"/>
  <c r="G67" i="15" s="1"/>
  <c r="H61" i="15"/>
  <c r="H67" i="15" s="1"/>
  <c r="L52" i="15"/>
  <c r="L52" i="20"/>
  <c r="H61" i="20"/>
  <c r="H38" i="34"/>
  <c r="K52" i="17"/>
  <c r="G61" i="17"/>
  <c r="G67" i="17" s="1"/>
  <c r="L52" i="17"/>
  <c r="H61" i="17"/>
  <c r="H67" i="17" s="1"/>
  <c r="H46" i="34"/>
  <c r="G61" i="21"/>
  <c r="G67" i="21" s="1"/>
  <c r="K52" i="21"/>
  <c r="H61" i="21"/>
  <c r="H67" i="21" s="1"/>
  <c r="L52" i="21"/>
  <c r="H41" i="34"/>
  <c r="H61" i="8"/>
  <c r="H67" i="8" s="1"/>
  <c r="L52" i="8"/>
  <c r="D53" i="14"/>
  <c r="D61" i="14" s="1"/>
  <c r="F53" i="14"/>
  <c r="G53" i="14"/>
  <c r="H53" i="14"/>
  <c r="E61" i="14"/>
  <c r="D53" i="9"/>
  <c r="D61" i="9" s="1"/>
  <c r="D67" i="9" s="1"/>
  <c r="E61" i="9"/>
  <c r="E67" i="9" s="1"/>
  <c r="G53" i="9"/>
  <c r="O53" i="9" s="1"/>
  <c r="F53" i="9"/>
  <c r="N53" i="9" s="1"/>
  <c r="H53" i="9"/>
  <c r="P53" i="9" s="1"/>
  <c r="D53" i="10"/>
  <c r="D61" i="10" s="1"/>
  <c r="D67" i="10" s="1"/>
  <c r="H53" i="10"/>
  <c r="P53" i="10" s="1"/>
  <c r="G53" i="10"/>
  <c r="O53" i="10" s="1"/>
  <c r="F53" i="10"/>
  <c r="N53" i="10" s="1"/>
  <c r="E61" i="10"/>
  <c r="E67" i="10" s="1"/>
  <c r="D53" i="13"/>
  <c r="D61" i="13" s="1"/>
  <c r="D67" i="13" s="1"/>
  <c r="H53" i="13"/>
  <c r="P53" i="13" s="1"/>
  <c r="G53" i="13"/>
  <c r="O53" i="13" s="1"/>
  <c r="F53" i="13"/>
  <c r="N53" i="13" s="1"/>
  <c r="E61" i="13"/>
  <c r="E67" i="13" s="1"/>
  <c r="K52" i="23"/>
  <c r="L52" i="23"/>
  <c r="J52" i="18"/>
  <c r="F61" i="18"/>
  <c r="F67" i="18" s="1"/>
  <c r="K52" i="18"/>
  <c r="G61" i="18"/>
  <c r="G67" i="18" s="1"/>
  <c r="J52" i="7"/>
  <c r="F61" i="7"/>
  <c r="F67" i="7" s="1"/>
  <c r="J52" i="11"/>
  <c r="F61" i="11"/>
  <c r="F67" i="11" s="1"/>
  <c r="K52" i="11"/>
  <c r="G61" i="11"/>
  <c r="G67" i="11" s="1"/>
  <c r="J52" i="22"/>
  <c r="F61" i="22"/>
  <c r="F67" i="22" s="1"/>
  <c r="K52" i="22"/>
  <c r="G61" i="22"/>
  <c r="G67" i="22" s="1"/>
  <c r="G52" i="25"/>
  <c r="O52" i="25" s="1"/>
  <c r="D52" i="25"/>
  <c r="D61" i="25" s="1"/>
  <c r="D67" i="25" s="1"/>
  <c r="F52" i="25"/>
  <c r="N52" i="25" s="1"/>
  <c r="H52" i="25"/>
  <c r="P52" i="25" s="1"/>
  <c r="I52" i="25"/>
  <c r="E61" i="25"/>
  <c r="E67" i="25" s="1"/>
  <c r="H44" i="30" l="1"/>
  <c r="I44" i="30" s="1"/>
  <c r="H42" i="30"/>
  <c r="J47" i="30"/>
  <c r="K47" i="30" s="1"/>
  <c r="S26" i="46"/>
  <c r="C46" i="29"/>
  <c r="G28" i="30"/>
  <c r="U26" i="46"/>
  <c r="N69" i="11"/>
  <c r="D119" i="49" s="1"/>
  <c r="H119" i="49" s="1"/>
  <c r="N69" i="8"/>
  <c r="D116" i="49" s="1"/>
  <c r="H116" i="49" s="1"/>
  <c r="L52" i="24"/>
  <c r="J52" i="24"/>
  <c r="O69" i="11"/>
  <c r="E119" i="49" s="1"/>
  <c r="I119" i="49" s="1"/>
  <c r="P69" i="17"/>
  <c r="F113" i="49" s="1"/>
  <c r="J113" i="49" s="1"/>
  <c r="N69" i="21"/>
  <c r="D121" i="49" s="1"/>
  <c r="H121" i="49" s="1"/>
  <c r="P69" i="21"/>
  <c r="F121" i="49" s="1"/>
  <c r="J121" i="49" s="1"/>
  <c r="I69" i="13"/>
  <c r="N69" i="7"/>
  <c r="D115" i="49" s="1"/>
  <c r="H115" i="49" s="1"/>
  <c r="P69" i="22"/>
  <c r="F122" i="49" s="1"/>
  <c r="J122" i="49" s="1"/>
  <c r="P69" i="11"/>
  <c r="F119" i="49" s="1"/>
  <c r="J119" i="49" s="1"/>
  <c r="K52" i="24"/>
  <c r="N61" i="25"/>
  <c r="N67" i="25" s="1"/>
  <c r="F52" i="12"/>
  <c r="N52" i="12" s="1"/>
  <c r="N55" i="29" s="1"/>
  <c r="M52" i="12"/>
  <c r="AA6" i="46"/>
  <c r="AB6" i="46" s="1"/>
  <c r="R6" i="46"/>
  <c r="W6" i="46"/>
  <c r="X6" i="46" s="1"/>
  <c r="W16" i="46"/>
  <c r="X16" i="46" s="1"/>
  <c r="R16" i="46"/>
  <c r="AA16" i="46"/>
  <c r="AB16" i="46" s="1"/>
  <c r="AA14" i="46"/>
  <c r="AB14" i="46" s="1"/>
  <c r="R14" i="46"/>
  <c r="W14" i="46"/>
  <c r="X14" i="46" s="1"/>
  <c r="R19" i="46"/>
  <c r="W19" i="46"/>
  <c r="X19" i="46" s="1"/>
  <c r="AA19" i="46"/>
  <c r="AB19" i="46" s="1"/>
  <c r="AB5" i="46"/>
  <c r="V26" i="45"/>
  <c r="AC7" i="46"/>
  <c r="AD7" i="46" s="1"/>
  <c r="Y7" i="46"/>
  <c r="Z7" i="46" s="1"/>
  <c r="O61" i="13"/>
  <c r="O67" i="13" s="1"/>
  <c r="N61" i="10"/>
  <c r="N67" i="10" s="1"/>
  <c r="P61" i="9"/>
  <c r="P67" i="9" s="1"/>
  <c r="J53" i="14"/>
  <c r="J61" i="14" s="1"/>
  <c r="N53" i="14"/>
  <c r="O61" i="26"/>
  <c r="O67" i="26" s="1"/>
  <c r="I69" i="10"/>
  <c r="T26" i="46"/>
  <c r="V5" i="46"/>
  <c r="V26" i="46" s="1"/>
  <c r="R9" i="46"/>
  <c r="AA9" i="46"/>
  <c r="AB9" i="46" s="1"/>
  <c r="W9" i="46"/>
  <c r="X9" i="46" s="1"/>
  <c r="AA18" i="46"/>
  <c r="AB18" i="46" s="1"/>
  <c r="W18" i="46"/>
  <c r="X18" i="46" s="1"/>
  <c r="R18" i="46"/>
  <c r="Q26" i="46"/>
  <c r="AA8" i="46"/>
  <c r="AB8" i="46" s="1"/>
  <c r="W8" i="46"/>
  <c r="X8" i="46" s="1"/>
  <c r="R8" i="46"/>
  <c r="P69" i="8"/>
  <c r="F116" i="49" s="1"/>
  <c r="J116" i="49" s="1"/>
  <c r="M61" i="14"/>
  <c r="M61" i="9"/>
  <c r="M67" i="9" s="1"/>
  <c r="O69" i="15"/>
  <c r="E112" i="49" s="1"/>
  <c r="I112" i="49" s="1"/>
  <c r="W12" i="46"/>
  <c r="X12" i="46" s="1"/>
  <c r="AA12" i="46"/>
  <c r="AB12" i="46" s="1"/>
  <c r="R12" i="46"/>
  <c r="U26" i="45"/>
  <c r="O69" i="22"/>
  <c r="E122" i="49" s="1"/>
  <c r="I122" i="49" s="1"/>
  <c r="M61" i="10"/>
  <c r="M67" i="10" s="1"/>
  <c r="N61" i="13"/>
  <c r="N67" i="13" s="1"/>
  <c r="K53" i="14"/>
  <c r="K61" i="14" s="1"/>
  <c r="O53" i="14"/>
  <c r="O61" i="25"/>
  <c r="O67" i="25" s="1"/>
  <c r="P61" i="13"/>
  <c r="P67" i="13" s="1"/>
  <c r="O61" i="10"/>
  <c r="O67" i="10" s="1"/>
  <c r="N61" i="9"/>
  <c r="N67" i="9" s="1"/>
  <c r="M61" i="5"/>
  <c r="M67" i="5" s="1"/>
  <c r="W24" i="46"/>
  <c r="X24" i="46" s="1"/>
  <c r="R24" i="46"/>
  <c r="AA24" i="46"/>
  <c r="AB24" i="46" s="1"/>
  <c r="AA17" i="46"/>
  <c r="AB17" i="46" s="1"/>
  <c r="W17" i="46"/>
  <c r="X17" i="46" s="1"/>
  <c r="R17" i="46"/>
  <c r="AA11" i="46"/>
  <c r="AB11" i="46" s="1"/>
  <c r="R11" i="46"/>
  <c r="W11" i="46"/>
  <c r="X11" i="46" s="1"/>
  <c r="G5" i="46"/>
  <c r="AA22" i="46"/>
  <c r="AB22" i="46" s="1"/>
  <c r="W22" i="46"/>
  <c r="X22" i="46" s="1"/>
  <c r="R22" i="46"/>
  <c r="AA23" i="46"/>
  <c r="AB23" i="46" s="1"/>
  <c r="R23" i="46"/>
  <c r="W23" i="46"/>
  <c r="X23" i="46" s="1"/>
  <c r="M61" i="26"/>
  <c r="M67" i="26" s="1"/>
  <c r="AA20" i="46"/>
  <c r="AB20" i="46" s="1"/>
  <c r="R20" i="46"/>
  <c r="W20" i="46"/>
  <c r="X20" i="46" s="1"/>
  <c r="AA13" i="46"/>
  <c r="AB13" i="46" s="1"/>
  <c r="W13" i="46"/>
  <c r="X13" i="46" s="1"/>
  <c r="R13" i="46"/>
  <c r="R15" i="46"/>
  <c r="AA15" i="46"/>
  <c r="AB15" i="46" s="1"/>
  <c r="W15" i="46"/>
  <c r="X15" i="46" s="1"/>
  <c r="P61" i="25"/>
  <c r="P67" i="25" s="1"/>
  <c r="P61" i="10"/>
  <c r="P67" i="10" s="1"/>
  <c r="O61" i="9"/>
  <c r="O67" i="9" s="1"/>
  <c r="L53" i="14"/>
  <c r="L61" i="14" s="1"/>
  <c r="P53" i="14"/>
  <c r="P61" i="26"/>
  <c r="P67" i="26" s="1"/>
  <c r="T26" i="45"/>
  <c r="I69" i="9"/>
  <c r="AA25" i="46"/>
  <c r="AB25" i="46" s="1"/>
  <c r="W25" i="46"/>
  <c r="X25" i="46" s="1"/>
  <c r="R25" i="46"/>
  <c r="Y5" i="46"/>
  <c r="AC5" i="46"/>
  <c r="AD5" i="46" s="1"/>
  <c r="O69" i="17"/>
  <c r="E113" i="49" s="1"/>
  <c r="I113" i="49" s="1"/>
  <c r="M61" i="13"/>
  <c r="M67" i="13" s="1"/>
  <c r="O67" i="8"/>
  <c r="O69" i="8"/>
  <c r="E116" i="49" s="1"/>
  <c r="I116" i="49" s="1"/>
  <c r="AA10" i="46"/>
  <c r="AB10" i="46" s="1"/>
  <c r="W10" i="46"/>
  <c r="X10" i="46" s="1"/>
  <c r="R10" i="46"/>
  <c r="AA21" i="46"/>
  <c r="AB21" i="46" s="1"/>
  <c r="R21" i="46"/>
  <c r="W21" i="46"/>
  <c r="X21" i="46" s="1"/>
  <c r="N69" i="26"/>
  <c r="D126" i="49" s="1"/>
  <c r="H126" i="49" s="1"/>
  <c r="X6" i="45"/>
  <c r="X26" i="45" s="1"/>
  <c r="W26" i="45"/>
  <c r="O69" i="7"/>
  <c r="E115" i="49" s="1"/>
  <c r="I115" i="49" s="1"/>
  <c r="N69" i="17"/>
  <c r="D113" i="49" s="1"/>
  <c r="H113" i="49" s="1"/>
  <c r="I69" i="7"/>
  <c r="I69" i="18"/>
  <c r="J69" i="16"/>
  <c r="I69" i="22"/>
  <c r="L69" i="16"/>
  <c r="I67" i="11"/>
  <c r="I69" i="11"/>
  <c r="I69" i="8"/>
  <c r="K69" i="16"/>
  <c r="I69" i="26"/>
  <c r="I69" i="21"/>
  <c r="K61" i="21"/>
  <c r="K67" i="21" s="1"/>
  <c r="K61" i="11"/>
  <c r="K67" i="11" s="1"/>
  <c r="J61" i="18"/>
  <c r="J67" i="18" s="1"/>
  <c r="L61" i="17"/>
  <c r="L67" i="17" s="1"/>
  <c r="K61" i="15"/>
  <c r="K67" i="15" s="1"/>
  <c r="L61" i="11"/>
  <c r="L67" i="11" s="1"/>
  <c r="L61" i="18"/>
  <c r="L67" i="18" s="1"/>
  <c r="K61" i="8"/>
  <c r="K67" i="8" s="1"/>
  <c r="K61" i="20"/>
  <c r="L61" i="21"/>
  <c r="L67" i="21" s="1"/>
  <c r="J61" i="20"/>
  <c r="J61" i="7"/>
  <c r="J67" i="7" s="1"/>
  <c r="J61" i="21"/>
  <c r="J67" i="21" s="1"/>
  <c r="J61" i="11"/>
  <c r="J67" i="11" s="1"/>
  <c r="K61" i="17"/>
  <c r="K67" i="17" s="1"/>
  <c r="K61" i="22"/>
  <c r="K67" i="22" s="1"/>
  <c r="L61" i="7"/>
  <c r="L67" i="7" s="1"/>
  <c r="L61" i="20"/>
  <c r="J61" i="15"/>
  <c r="J67" i="15" s="1"/>
  <c r="I61" i="25"/>
  <c r="K61" i="18"/>
  <c r="K67" i="18" s="1"/>
  <c r="L61" i="15"/>
  <c r="L67" i="15" s="1"/>
  <c r="L61" i="22"/>
  <c r="L67" i="22" s="1"/>
  <c r="J61" i="8"/>
  <c r="J67" i="8" s="1"/>
  <c r="J61" i="22"/>
  <c r="J67" i="22" s="1"/>
  <c r="L61" i="8"/>
  <c r="L67" i="8" s="1"/>
  <c r="K61" i="7"/>
  <c r="K67" i="7" s="1"/>
  <c r="J61" i="17"/>
  <c r="J67" i="17" s="1"/>
  <c r="S26" i="45"/>
  <c r="P26" i="45"/>
  <c r="D78" i="49"/>
  <c r="G99" i="49"/>
  <c r="L32" i="49"/>
  <c r="F32" i="49"/>
  <c r="H61" i="9"/>
  <c r="L53" i="9"/>
  <c r="F61" i="9"/>
  <c r="J53" i="9"/>
  <c r="G61" i="9"/>
  <c r="K53" i="9"/>
  <c r="H61" i="10"/>
  <c r="L53" i="10"/>
  <c r="L61" i="10" s="1"/>
  <c r="L69" i="10" s="1"/>
  <c r="F61" i="13"/>
  <c r="J53" i="13"/>
  <c r="J61" i="13" s="1"/>
  <c r="J69" i="13" s="1"/>
  <c r="H61" i="13"/>
  <c r="L53" i="13"/>
  <c r="L61" i="13" s="1"/>
  <c r="L69" i="13" s="1"/>
  <c r="H61" i="26"/>
  <c r="L53" i="26"/>
  <c r="L61" i="26" s="1"/>
  <c r="L69" i="26" s="1"/>
  <c r="G61" i="13"/>
  <c r="K53" i="13"/>
  <c r="K61" i="13" s="1"/>
  <c r="K69" i="13" s="1"/>
  <c r="F61" i="26"/>
  <c r="J53" i="26"/>
  <c r="J61" i="26" s="1"/>
  <c r="J69" i="26" s="1"/>
  <c r="F61" i="10"/>
  <c r="J53" i="10"/>
  <c r="J61" i="10" s="1"/>
  <c r="J69" i="10" s="1"/>
  <c r="G61" i="10"/>
  <c r="K53" i="10"/>
  <c r="K61" i="10" s="1"/>
  <c r="K69" i="10" s="1"/>
  <c r="G61" i="26"/>
  <c r="K53" i="26"/>
  <c r="K61" i="26" s="1"/>
  <c r="K69" i="26" s="1"/>
  <c r="H68" i="8"/>
  <c r="H68" i="15"/>
  <c r="I15" i="34"/>
  <c r="J15" i="34" s="1"/>
  <c r="C68" i="26"/>
  <c r="G68" i="22"/>
  <c r="F68" i="21"/>
  <c r="F68" i="11"/>
  <c r="C68" i="9"/>
  <c r="G68" i="8"/>
  <c r="F68" i="7"/>
  <c r="G68" i="17"/>
  <c r="H68" i="17"/>
  <c r="F68" i="15"/>
  <c r="G68" i="15"/>
  <c r="H68" i="18"/>
  <c r="F68" i="18"/>
  <c r="I16" i="34"/>
  <c r="J16" i="34" s="1"/>
  <c r="C68" i="10"/>
  <c r="G68" i="11"/>
  <c r="C68" i="13"/>
  <c r="G68" i="21"/>
  <c r="F68" i="22"/>
  <c r="C68" i="25"/>
  <c r="G68" i="7"/>
  <c r="I18" i="34"/>
  <c r="J18" i="34" s="1"/>
  <c r="F68" i="8"/>
  <c r="H68" i="11"/>
  <c r="I23" i="34"/>
  <c r="J23" i="34" s="1"/>
  <c r="F68" i="17"/>
  <c r="I24" i="34"/>
  <c r="J24" i="34" s="1"/>
  <c r="H52" i="12"/>
  <c r="G68" i="18"/>
  <c r="H68" i="21"/>
  <c r="H68" i="22"/>
  <c r="H68" i="7"/>
  <c r="E55" i="29"/>
  <c r="D55" i="29" s="1"/>
  <c r="E43" i="5"/>
  <c r="F31" i="34"/>
  <c r="D34" i="5"/>
  <c r="D43" i="5" s="1"/>
  <c r="E37" i="29"/>
  <c r="F33" i="34"/>
  <c r="E43" i="14"/>
  <c r="D34" i="14"/>
  <c r="D43" i="14" s="1"/>
  <c r="D34" i="9"/>
  <c r="D43" i="9" s="1"/>
  <c r="E43" i="9"/>
  <c r="F42" i="34"/>
  <c r="E43" i="16"/>
  <c r="E68" i="16" s="1"/>
  <c r="D34" i="16"/>
  <c r="D43" i="16" s="1"/>
  <c r="F39" i="34"/>
  <c r="I39" i="34" s="1"/>
  <c r="E43" i="7"/>
  <c r="E68" i="7" s="1"/>
  <c r="D34" i="7"/>
  <c r="D43" i="7" s="1"/>
  <c r="F40" i="34"/>
  <c r="I40" i="34" s="1"/>
  <c r="D34" i="11"/>
  <c r="D43" i="11" s="1"/>
  <c r="F44" i="34"/>
  <c r="I44" i="34" s="1"/>
  <c r="E43" i="11"/>
  <c r="E68" i="11" s="1"/>
  <c r="D34" i="22"/>
  <c r="D43" i="22" s="1"/>
  <c r="E43" i="22"/>
  <c r="E68" i="22" s="1"/>
  <c r="F47" i="34"/>
  <c r="I47" i="34" s="1"/>
  <c r="D34" i="13"/>
  <c r="D43" i="13" s="1"/>
  <c r="F45" i="34"/>
  <c r="E43" i="13"/>
  <c r="D34" i="26"/>
  <c r="D43" i="26" s="1"/>
  <c r="E43" i="26"/>
  <c r="F51" i="34"/>
  <c r="F38" i="34"/>
  <c r="I38" i="34" s="1"/>
  <c r="D34" i="17"/>
  <c r="D43" i="17" s="1"/>
  <c r="E43" i="17"/>
  <c r="E68" i="17" s="1"/>
  <c r="D34" i="21"/>
  <c r="D43" i="21" s="1"/>
  <c r="F46" i="34"/>
  <c r="I46" i="34" s="1"/>
  <c r="E43" i="21"/>
  <c r="E68" i="21" s="1"/>
  <c r="F32" i="34"/>
  <c r="E43" i="12"/>
  <c r="D34" i="12"/>
  <c r="D43" i="12" s="1"/>
  <c r="D52" i="12"/>
  <c r="I52" i="12"/>
  <c r="F25" i="34"/>
  <c r="H43" i="5"/>
  <c r="H37" i="29"/>
  <c r="H46" i="29" s="1"/>
  <c r="G43" i="5"/>
  <c r="G37" i="29"/>
  <c r="G46" i="29" s="1"/>
  <c r="D34" i="8"/>
  <c r="D43" i="8" s="1"/>
  <c r="E43" i="8"/>
  <c r="E68" i="8" s="1"/>
  <c r="F41" i="34"/>
  <c r="I41" i="34" s="1"/>
  <c r="E43" i="15"/>
  <c r="E68" i="15" s="1"/>
  <c r="D34" i="15"/>
  <c r="D43" i="15" s="1"/>
  <c r="F37" i="34"/>
  <c r="I37" i="34" s="1"/>
  <c r="D34" i="20"/>
  <c r="D43" i="20" s="1"/>
  <c r="E43" i="20"/>
  <c r="F34" i="34"/>
  <c r="D34" i="24"/>
  <c r="D43" i="24" s="1"/>
  <c r="F49" i="34"/>
  <c r="E43" i="24"/>
  <c r="F50" i="34"/>
  <c r="D34" i="25"/>
  <c r="D43" i="25" s="1"/>
  <c r="E43" i="25"/>
  <c r="F35" i="34"/>
  <c r="E43" i="19"/>
  <c r="D34" i="19"/>
  <c r="D43" i="19" s="1"/>
  <c r="E43" i="10"/>
  <c r="D34" i="10"/>
  <c r="D43" i="10" s="1"/>
  <c r="F43" i="34"/>
  <c r="D34" i="18"/>
  <c r="D43" i="18" s="1"/>
  <c r="E43" i="18"/>
  <c r="E68" i="18" s="1"/>
  <c r="F36" i="34"/>
  <c r="I36" i="34" s="1"/>
  <c r="D34" i="23"/>
  <c r="D43" i="23" s="1"/>
  <c r="F48" i="34"/>
  <c r="E43" i="23"/>
  <c r="G52" i="12"/>
  <c r="H51" i="34"/>
  <c r="D54" i="5"/>
  <c r="D61" i="5" s="1"/>
  <c r="D67" i="5" s="1"/>
  <c r="I54" i="5"/>
  <c r="H54" i="5"/>
  <c r="P54" i="5" s="1"/>
  <c r="P57" i="29" s="1"/>
  <c r="T57" i="29" s="1"/>
  <c r="G54" i="5"/>
  <c r="O54" i="5" s="1"/>
  <c r="F54" i="5"/>
  <c r="N54" i="5" s="1"/>
  <c r="N57" i="29" s="1"/>
  <c r="R57" i="29" s="1"/>
  <c r="E57" i="29"/>
  <c r="D57" i="29" s="1"/>
  <c r="E61" i="5"/>
  <c r="E67" i="5" s="1"/>
  <c r="H4" i="34"/>
  <c r="I4" i="34" s="1"/>
  <c r="J4" i="34" s="1"/>
  <c r="C68" i="5"/>
  <c r="H45" i="34"/>
  <c r="G61" i="14"/>
  <c r="H50" i="34"/>
  <c r="L52" i="25"/>
  <c r="H61" i="25"/>
  <c r="J52" i="25"/>
  <c r="F61" i="25"/>
  <c r="K52" i="25"/>
  <c r="G61" i="25"/>
  <c r="H43" i="34"/>
  <c r="H42" i="34"/>
  <c r="H61" i="14"/>
  <c r="F61" i="14"/>
  <c r="J44" i="30" l="1"/>
  <c r="K44" i="30" s="1"/>
  <c r="I42" i="30"/>
  <c r="X5" i="46"/>
  <c r="X26" i="46" s="1"/>
  <c r="AB26" i="46"/>
  <c r="H28" i="30"/>
  <c r="P69" i="9"/>
  <c r="F117" i="49" s="1"/>
  <c r="J117" i="49" s="1"/>
  <c r="N69" i="13"/>
  <c r="D120" i="49" s="1"/>
  <c r="H120" i="49" s="1"/>
  <c r="M69" i="9"/>
  <c r="C117" i="49" s="1"/>
  <c r="G117" i="49" s="1"/>
  <c r="F55" i="29"/>
  <c r="P69" i="10"/>
  <c r="F118" i="49" s="1"/>
  <c r="J118" i="49" s="1"/>
  <c r="N69" i="9"/>
  <c r="D117" i="49" s="1"/>
  <c r="H117" i="49" s="1"/>
  <c r="N69" i="10"/>
  <c r="D118" i="49" s="1"/>
  <c r="H118" i="49" s="1"/>
  <c r="M69" i="5"/>
  <c r="C106" i="49" s="1"/>
  <c r="G106" i="49" s="1"/>
  <c r="P69" i="13"/>
  <c r="F120" i="49" s="1"/>
  <c r="J120" i="49" s="1"/>
  <c r="AC20" i="46"/>
  <c r="AD20" i="46" s="1"/>
  <c r="Y20" i="46"/>
  <c r="Z20" i="46" s="1"/>
  <c r="AC12" i="46"/>
  <c r="AD12" i="46" s="1"/>
  <c r="Y12" i="46"/>
  <c r="Z12" i="46" s="1"/>
  <c r="AC14" i="46"/>
  <c r="AD14" i="46" s="1"/>
  <c r="Y14" i="46"/>
  <c r="Z14" i="46" s="1"/>
  <c r="O57" i="29"/>
  <c r="S57" i="29" s="1"/>
  <c r="O61" i="5"/>
  <c r="O67" i="5" s="1"/>
  <c r="AC10" i="46"/>
  <c r="AD10" i="46" s="1"/>
  <c r="Y10" i="46"/>
  <c r="Z10" i="46" s="1"/>
  <c r="N61" i="5"/>
  <c r="N67" i="5" s="1"/>
  <c r="Z5" i="46"/>
  <c r="P61" i="14"/>
  <c r="AC23" i="46"/>
  <c r="AD23" i="46" s="1"/>
  <c r="Y23" i="46"/>
  <c r="Z23" i="46" s="1"/>
  <c r="H5" i="46"/>
  <c r="H26" i="46" s="1"/>
  <c r="G26" i="46"/>
  <c r="AC17" i="46"/>
  <c r="AD17" i="46" s="1"/>
  <c r="Y17" i="46"/>
  <c r="Z17" i="46" s="1"/>
  <c r="AC24" i="46"/>
  <c r="AD24" i="46" s="1"/>
  <c r="Y24" i="46"/>
  <c r="Z24" i="46" s="1"/>
  <c r="J52" i="12"/>
  <c r="J55" i="29" s="1"/>
  <c r="M69" i="13"/>
  <c r="C120" i="49" s="1"/>
  <c r="G120" i="49" s="1"/>
  <c r="AC25" i="46"/>
  <c r="AD25" i="46" s="1"/>
  <c r="Y25" i="46"/>
  <c r="Z25" i="46" s="1"/>
  <c r="M69" i="26"/>
  <c r="C126" i="49" s="1"/>
  <c r="G126" i="49" s="1"/>
  <c r="O69" i="10"/>
  <c r="E118" i="49" s="1"/>
  <c r="I118" i="49" s="1"/>
  <c r="O69" i="25"/>
  <c r="E125" i="49" s="1"/>
  <c r="I125" i="49" s="1"/>
  <c r="AC8" i="46"/>
  <c r="Y8" i="46"/>
  <c r="Z8" i="46" s="1"/>
  <c r="AC18" i="46"/>
  <c r="AD18" i="46" s="1"/>
  <c r="Y18" i="46"/>
  <c r="Z18" i="46" s="1"/>
  <c r="O69" i="26"/>
  <c r="E126" i="49" s="1"/>
  <c r="I126" i="49" s="1"/>
  <c r="O69" i="13"/>
  <c r="E120" i="49" s="1"/>
  <c r="I120" i="49" s="1"/>
  <c r="AA26" i="46"/>
  <c r="AC19" i="46"/>
  <c r="AD19" i="46" s="1"/>
  <c r="Y19" i="46"/>
  <c r="Z19" i="46" s="1"/>
  <c r="Y6" i="46"/>
  <c r="Z6" i="46" s="1"/>
  <c r="AC6" i="46"/>
  <c r="AD6" i="46" s="1"/>
  <c r="N69" i="25"/>
  <c r="D125" i="49" s="1"/>
  <c r="H125" i="49" s="1"/>
  <c r="L52" i="12"/>
  <c r="L55" i="29" s="1"/>
  <c r="P52" i="12"/>
  <c r="R55" i="29"/>
  <c r="AC13" i="46"/>
  <c r="AD13" i="46" s="1"/>
  <c r="Y13" i="46"/>
  <c r="Z13" i="46" s="1"/>
  <c r="O61" i="14"/>
  <c r="M55" i="29"/>
  <c r="M69" i="10"/>
  <c r="C118" i="49" s="1"/>
  <c r="G118" i="49" s="1"/>
  <c r="G55" i="29"/>
  <c r="O52" i="12"/>
  <c r="AC21" i="46"/>
  <c r="AD21" i="46" s="1"/>
  <c r="Y21" i="46"/>
  <c r="Z21" i="46" s="1"/>
  <c r="R26" i="46"/>
  <c r="P69" i="26"/>
  <c r="F126" i="49" s="1"/>
  <c r="J126" i="49" s="1"/>
  <c r="O69" i="9"/>
  <c r="E117" i="49" s="1"/>
  <c r="I117" i="49" s="1"/>
  <c r="P69" i="25"/>
  <c r="F125" i="49" s="1"/>
  <c r="J125" i="49" s="1"/>
  <c r="AC15" i="46"/>
  <c r="AD15" i="46" s="1"/>
  <c r="Y15" i="46"/>
  <c r="Z15" i="46" s="1"/>
  <c r="AC22" i="46"/>
  <c r="AD22" i="46" s="1"/>
  <c r="Y22" i="46"/>
  <c r="Z22" i="46" s="1"/>
  <c r="W26" i="46"/>
  <c r="AC11" i="46"/>
  <c r="AD11" i="46" s="1"/>
  <c r="Y11" i="46"/>
  <c r="Z11" i="46" s="1"/>
  <c r="P61" i="5"/>
  <c r="P67" i="5" s="1"/>
  <c r="AC9" i="46"/>
  <c r="AD9" i="46" s="1"/>
  <c r="Y9" i="46"/>
  <c r="Z9" i="46" s="1"/>
  <c r="N61" i="14"/>
  <c r="Y16" i="46"/>
  <c r="Z16" i="46" s="1"/>
  <c r="AC16" i="46"/>
  <c r="AD16" i="46" s="1"/>
  <c r="J69" i="7"/>
  <c r="K69" i="11"/>
  <c r="L69" i="21"/>
  <c r="J69" i="17"/>
  <c r="K69" i="21"/>
  <c r="K69" i="7"/>
  <c r="L69" i="8"/>
  <c r="J69" i="18"/>
  <c r="L69" i="7"/>
  <c r="J69" i="22"/>
  <c r="J69" i="15"/>
  <c r="K69" i="17"/>
  <c r="J69" i="21"/>
  <c r="J69" i="11"/>
  <c r="L69" i="17"/>
  <c r="J69" i="8"/>
  <c r="L69" i="18"/>
  <c r="L69" i="22"/>
  <c r="K69" i="8"/>
  <c r="L69" i="15"/>
  <c r="I67" i="25"/>
  <c r="I69" i="25"/>
  <c r="K69" i="18"/>
  <c r="K69" i="22"/>
  <c r="L69" i="11"/>
  <c r="K69" i="15"/>
  <c r="L67" i="26"/>
  <c r="L67" i="13"/>
  <c r="K61" i="25"/>
  <c r="K67" i="25" s="1"/>
  <c r="K67" i="26"/>
  <c r="K67" i="13"/>
  <c r="L67" i="10"/>
  <c r="J61" i="9"/>
  <c r="J67" i="9" s="1"/>
  <c r="J61" i="25"/>
  <c r="J67" i="25" s="1"/>
  <c r="K61" i="9"/>
  <c r="K67" i="9" s="1"/>
  <c r="J67" i="13"/>
  <c r="K67" i="10"/>
  <c r="J67" i="10"/>
  <c r="J67" i="26"/>
  <c r="L61" i="9"/>
  <c r="L67" i="9" s="1"/>
  <c r="H67" i="26"/>
  <c r="H68" i="26" s="1"/>
  <c r="G67" i="26"/>
  <c r="G68" i="26" s="1"/>
  <c r="F67" i="26"/>
  <c r="F68" i="26" s="1"/>
  <c r="F67" i="25"/>
  <c r="F68" i="25" s="1"/>
  <c r="H67" i="25"/>
  <c r="H68" i="25" s="1"/>
  <c r="G67" i="25"/>
  <c r="G68" i="25" s="1"/>
  <c r="H67" i="13"/>
  <c r="H68" i="13" s="1"/>
  <c r="G67" i="13"/>
  <c r="G68" i="13" s="1"/>
  <c r="F67" i="13"/>
  <c r="F68" i="13" s="1"/>
  <c r="H67" i="10"/>
  <c r="H68" i="10" s="1"/>
  <c r="G67" i="10"/>
  <c r="G68" i="10" s="1"/>
  <c r="F67" i="10"/>
  <c r="F68" i="10" s="1"/>
  <c r="G67" i="9"/>
  <c r="G68" i="9" s="1"/>
  <c r="F67" i="9"/>
  <c r="F68" i="9" s="1"/>
  <c r="H67" i="9"/>
  <c r="H68" i="9" s="1"/>
  <c r="H55" i="29"/>
  <c r="I45" i="34"/>
  <c r="E68" i="26"/>
  <c r="E68" i="25"/>
  <c r="E68" i="13"/>
  <c r="E68" i="10"/>
  <c r="I55" i="29"/>
  <c r="E68" i="9"/>
  <c r="I51" i="34"/>
  <c r="I42" i="34"/>
  <c r="I50" i="34"/>
  <c r="I43" i="34"/>
  <c r="D37" i="29"/>
  <c r="D46" i="29" s="1"/>
  <c r="E46" i="29"/>
  <c r="F52" i="34"/>
  <c r="K52" i="12"/>
  <c r="H31" i="34"/>
  <c r="I31" i="34" s="1"/>
  <c r="E68" i="5"/>
  <c r="J54" i="5"/>
  <c r="F57" i="29"/>
  <c r="L54" i="5"/>
  <c r="H57" i="29"/>
  <c r="H61" i="5"/>
  <c r="K54" i="5"/>
  <c r="G57" i="29"/>
  <c r="G61" i="5"/>
  <c r="I57" i="29"/>
  <c r="I61" i="5"/>
  <c r="I69" i="5" s="1"/>
  <c r="L61" i="25"/>
  <c r="L67" i="25" s="1"/>
  <c r="J42" i="30" l="1"/>
  <c r="K42" i="30" s="1"/>
  <c r="I28" i="30"/>
  <c r="P69" i="5"/>
  <c r="F106" i="49" s="1"/>
  <c r="J106" i="49" s="1"/>
  <c r="O55" i="29"/>
  <c r="P55" i="29"/>
  <c r="Z26" i="46"/>
  <c r="AC26" i="46"/>
  <c r="AD8" i="46"/>
  <c r="AD26" i="46" s="1"/>
  <c r="O69" i="5"/>
  <c r="E106" i="49" s="1"/>
  <c r="I106" i="49" s="1"/>
  <c r="Q55" i="29"/>
  <c r="Y26" i="46"/>
  <c r="L69" i="9"/>
  <c r="L69" i="25"/>
  <c r="K69" i="25"/>
  <c r="J69" i="9"/>
  <c r="K69" i="9"/>
  <c r="J69" i="25"/>
  <c r="I67" i="5"/>
  <c r="H67" i="5"/>
  <c r="H68" i="5" s="1"/>
  <c r="G67" i="5"/>
  <c r="G68" i="5" s="1"/>
  <c r="K55" i="29"/>
  <c r="L57" i="29"/>
  <c r="L61" i="5"/>
  <c r="L69" i="5" s="1"/>
  <c r="K57" i="29"/>
  <c r="K61" i="5"/>
  <c r="K69" i="5" s="1"/>
  <c r="J57" i="29"/>
  <c r="J61" i="5"/>
  <c r="J28" i="30" l="1"/>
  <c r="S55" i="29"/>
  <c r="T55" i="29"/>
  <c r="L67" i="5"/>
  <c r="K67" i="5"/>
  <c r="C53" i="12"/>
  <c r="N79" i="49" s="1"/>
  <c r="K28" i="30" l="1"/>
  <c r="N99" i="49"/>
  <c r="O79" i="49"/>
  <c r="C61" i="12"/>
  <c r="C56" i="29"/>
  <c r="G43" i="30" s="1"/>
  <c r="E53" i="12"/>
  <c r="M53" i="12" s="1"/>
  <c r="H43" i="30" l="1"/>
  <c r="M61" i="12"/>
  <c r="M67" i="12" s="1"/>
  <c r="M69" i="12"/>
  <c r="C107" i="49" s="1"/>
  <c r="G107" i="49" s="1"/>
  <c r="P79" i="49"/>
  <c r="O99" i="49"/>
  <c r="C64" i="29"/>
  <c r="H5" i="34"/>
  <c r="I5" i="34" s="1"/>
  <c r="C67" i="12"/>
  <c r="I6" i="49" s="1"/>
  <c r="H53" i="12"/>
  <c r="P53" i="12" s="1"/>
  <c r="I53" i="12"/>
  <c r="D53" i="12"/>
  <c r="D61" i="12" s="1"/>
  <c r="D67" i="12" s="1"/>
  <c r="E61" i="12"/>
  <c r="E67" i="12" s="1"/>
  <c r="G53" i="12"/>
  <c r="O53" i="12" s="1"/>
  <c r="F53" i="12"/>
  <c r="N53" i="12" s="1"/>
  <c r="I43" i="30" l="1"/>
  <c r="J43" i="30" s="1"/>
  <c r="O61" i="12"/>
  <c r="O67" i="12" s="1"/>
  <c r="N61" i="12"/>
  <c r="N67" i="12" s="1"/>
  <c r="P61" i="12"/>
  <c r="P67" i="12" s="1"/>
  <c r="P69" i="12"/>
  <c r="F107" i="49" s="1"/>
  <c r="J107" i="49" s="1"/>
  <c r="J6" i="49"/>
  <c r="C68" i="12"/>
  <c r="F61" i="12"/>
  <c r="J53" i="12"/>
  <c r="G61" i="12"/>
  <c r="K53" i="12"/>
  <c r="I61" i="12"/>
  <c r="I69" i="12" s="1"/>
  <c r="H61" i="12"/>
  <c r="L53" i="12"/>
  <c r="E68" i="12"/>
  <c r="H32" i="34"/>
  <c r="I32" i="34" s="1"/>
  <c r="J5" i="34"/>
  <c r="C61" i="23"/>
  <c r="C67" i="23" s="1"/>
  <c r="I22" i="49" s="1"/>
  <c r="J22" i="49" s="1"/>
  <c r="D95" i="49" s="1"/>
  <c r="E53" i="23"/>
  <c r="M53" i="23" s="1"/>
  <c r="K43" i="30" l="1"/>
  <c r="N69" i="12"/>
  <c r="D107" i="49" s="1"/>
  <c r="H107" i="49" s="1"/>
  <c r="M61" i="23"/>
  <c r="M67" i="23" s="1"/>
  <c r="O69" i="12"/>
  <c r="E107" i="49" s="1"/>
  <c r="I107" i="49" s="1"/>
  <c r="D79" i="49"/>
  <c r="I67" i="12"/>
  <c r="F67" i="12"/>
  <c r="F68" i="12" s="1"/>
  <c r="H67" i="12"/>
  <c r="H68" i="12" s="1"/>
  <c r="G67" i="12"/>
  <c r="G68" i="12" s="1"/>
  <c r="L61" i="12"/>
  <c r="L69" i="12" s="1"/>
  <c r="E61" i="23"/>
  <c r="I53" i="23"/>
  <c r="K61" i="12"/>
  <c r="K69" i="12" s="1"/>
  <c r="J61" i="12"/>
  <c r="J69" i="12" s="1"/>
  <c r="C68" i="23"/>
  <c r="H21" i="34"/>
  <c r="H53" i="23"/>
  <c r="G53" i="23"/>
  <c r="D53" i="23"/>
  <c r="D61" i="23" s="1"/>
  <c r="D67" i="23" s="1"/>
  <c r="F53" i="23"/>
  <c r="M69" i="23" l="1"/>
  <c r="C123" i="49" s="1"/>
  <c r="G123" i="49" s="1"/>
  <c r="L53" i="23"/>
  <c r="L61" i="23" s="1"/>
  <c r="L69" i="23" s="1"/>
  <c r="P53" i="23"/>
  <c r="J53" i="23"/>
  <c r="J61" i="23" s="1"/>
  <c r="J69" i="23" s="1"/>
  <c r="N53" i="23"/>
  <c r="K53" i="23"/>
  <c r="K61" i="23" s="1"/>
  <c r="K69" i="23" s="1"/>
  <c r="O53" i="23"/>
  <c r="L67" i="12"/>
  <c r="J67" i="12"/>
  <c r="K67" i="12"/>
  <c r="E67" i="23"/>
  <c r="E68" i="23" s="1"/>
  <c r="H48" i="34"/>
  <c r="I48" i="34" s="1"/>
  <c r="I61" i="23"/>
  <c r="I69" i="23" s="1"/>
  <c r="F61" i="23"/>
  <c r="G61" i="23"/>
  <c r="I21" i="34"/>
  <c r="H61" i="23"/>
  <c r="K67" i="23" l="1"/>
  <c r="J67" i="23"/>
  <c r="N61" i="23"/>
  <c r="N67" i="23" s="1"/>
  <c r="L67" i="23"/>
  <c r="O61" i="23"/>
  <c r="O67" i="23" s="1"/>
  <c r="P61" i="23"/>
  <c r="P67" i="23" s="1"/>
  <c r="I67" i="23"/>
  <c r="H67" i="23"/>
  <c r="H68" i="23" s="1"/>
  <c r="G67" i="23"/>
  <c r="G68" i="23" s="1"/>
  <c r="F67" i="23"/>
  <c r="F68" i="23" s="1"/>
  <c r="J21" i="34"/>
  <c r="C61" i="24"/>
  <c r="E53" i="24"/>
  <c r="M53" i="24" s="1"/>
  <c r="N69" i="23" l="1"/>
  <c r="D123" i="49" s="1"/>
  <c r="H123" i="49" s="1"/>
  <c r="M61" i="24"/>
  <c r="M67" i="24" s="1"/>
  <c r="M56" i="29"/>
  <c r="P69" i="23"/>
  <c r="F123" i="49" s="1"/>
  <c r="J123" i="49" s="1"/>
  <c r="O69" i="23"/>
  <c r="E123" i="49" s="1"/>
  <c r="I123" i="49" s="1"/>
  <c r="H22" i="34"/>
  <c r="I22" i="34" s="1"/>
  <c r="C67" i="24"/>
  <c r="I23" i="49" s="1"/>
  <c r="J23" i="49" s="1"/>
  <c r="D96" i="49" s="1"/>
  <c r="E56" i="29"/>
  <c r="D56" i="29" s="1"/>
  <c r="D64" i="29" s="1"/>
  <c r="I53" i="24"/>
  <c r="F53" i="24"/>
  <c r="N53" i="24" s="1"/>
  <c r="G53" i="24"/>
  <c r="E61" i="24"/>
  <c r="D53" i="24"/>
  <c r="D61" i="24" s="1"/>
  <c r="D67" i="24" s="1"/>
  <c r="H53" i="24"/>
  <c r="G56" i="29" l="1"/>
  <c r="G64" i="29" s="1"/>
  <c r="O53" i="24"/>
  <c r="Q56" i="29"/>
  <c r="Q64" i="29" s="1"/>
  <c r="M64" i="29"/>
  <c r="L53" i="24"/>
  <c r="L61" i="24" s="1"/>
  <c r="L69" i="24" s="1"/>
  <c r="P53" i="24"/>
  <c r="N61" i="24"/>
  <c r="N67" i="24" s="1"/>
  <c r="N56" i="29"/>
  <c r="M69" i="24"/>
  <c r="C124" i="49" s="1"/>
  <c r="G124" i="49" s="1"/>
  <c r="C68" i="24"/>
  <c r="E67" i="24"/>
  <c r="E68" i="24" s="1"/>
  <c r="E64" i="29"/>
  <c r="G61" i="24"/>
  <c r="K53" i="24"/>
  <c r="F56" i="29"/>
  <c r="J53" i="24"/>
  <c r="I61" i="24"/>
  <c r="I69" i="24" s="1"/>
  <c r="I56" i="29"/>
  <c r="I64" i="29" s="1"/>
  <c r="H49" i="34"/>
  <c r="F61" i="24"/>
  <c r="H56" i="29"/>
  <c r="H64" i="29" s="1"/>
  <c r="H61" i="24"/>
  <c r="J22" i="34"/>
  <c r="H113" i="6"/>
  <c r="L56" i="29" l="1"/>
  <c r="L64" i="29" s="1"/>
  <c r="N69" i="24"/>
  <c r="D124" i="49" s="1"/>
  <c r="H124" i="49" s="1"/>
  <c r="P61" i="24"/>
  <c r="P67" i="24" s="1"/>
  <c r="P69" i="24"/>
  <c r="F124" i="49" s="1"/>
  <c r="J124" i="49" s="1"/>
  <c r="P56" i="29"/>
  <c r="O61" i="24"/>
  <c r="O67" i="24" s="1"/>
  <c r="O56" i="29"/>
  <c r="R56" i="29"/>
  <c r="R64" i="29" s="1"/>
  <c r="N64" i="29"/>
  <c r="L67" i="24"/>
  <c r="I67" i="24"/>
  <c r="H67" i="24"/>
  <c r="H68" i="24" s="1"/>
  <c r="G67" i="24"/>
  <c r="G68" i="24" s="1"/>
  <c r="F67" i="24"/>
  <c r="F68" i="24" s="1"/>
  <c r="J61" i="24"/>
  <c r="J69" i="24" s="1"/>
  <c r="J56" i="29"/>
  <c r="J64" i="29" s="1"/>
  <c r="K61" i="24"/>
  <c r="K69" i="24" s="1"/>
  <c r="K56" i="29"/>
  <c r="K64" i="29" s="1"/>
  <c r="I49" i="34"/>
  <c r="T56" i="29" l="1"/>
  <c r="T64" i="29" s="1"/>
  <c r="P64" i="29"/>
  <c r="S56" i="29"/>
  <c r="S64" i="29" s="1"/>
  <c r="O64" i="29"/>
  <c r="O69" i="24"/>
  <c r="E124" i="49" s="1"/>
  <c r="I124" i="49" s="1"/>
  <c r="J67" i="24"/>
  <c r="K67" i="24"/>
  <c r="C64" i="14"/>
  <c r="C64" i="19"/>
  <c r="C64" i="20"/>
  <c r="F64" i="19" l="1"/>
  <c r="H64" i="19"/>
  <c r="G64" i="19"/>
  <c r="C67" i="19"/>
  <c r="I9" i="49" s="1"/>
  <c r="J9" i="49" s="1"/>
  <c r="D82" i="49" s="1"/>
  <c r="G64" i="20"/>
  <c r="F64" i="20"/>
  <c r="H64" i="20"/>
  <c r="C67" i="20"/>
  <c r="I8" i="49" s="1"/>
  <c r="J8" i="49" s="1"/>
  <c r="D81" i="49" s="1"/>
  <c r="F64" i="14"/>
  <c r="N64" i="14" s="1"/>
  <c r="H64" i="14"/>
  <c r="G64" i="14"/>
  <c r="O64" i="14" s="1"/>
  <c r="C67" i="29"/>
  <c r="G52" i="30" s="1"/>
  <c r="C67" i="14"/>
  <c r="I7" i="49" s="1"/>
  <c r="E64" i="14"/>
  <c r="M64" i="14" s="1"/>
  <c r="E64" i="20"/>
  <c r="M64" i="20" s="1"/>
  <c r="H8" i="34"/>
  <c r="I8" i="34" s="1"/>
  <c r="J8" i="34" s="1"/>
  <c r="E64" i="19"/>
  <c r="M64" i="19" s="1"/>
  <c r="C65" i="20"/>
  <c r="H7" i="34"/>
  <c r="I7" i="34" s="1"/>
  <c r="J7" i="34" s="1"/>
  <c r="C65" i="19"/>
  <c r="C68" i="19" s="1"/>
  <c r="K64" i="14"/>
  <c r="H6" i="34"/>
  <c r="C65" i="14"/>
  <c r="H52" i="30" l="1"/>
  <c r="M65" i="19"/>
  <c r="M67" i="19" s="1"/>
  <c r="J7" i="49"/>
  <c r="I26" i="49"/>
  <c r="G67" i="20"/>
  <c r="O64" i="20"/>
  <c r="F67" i="19"/>
  <c r="N64" i="19"/>
  <c r="N65" i="14"/>
  <c r="N67" i="14" s="1"/>
  <c r="M65" i="20"/>
  <c r="M67" i="20" s="1"/>
  <c r="O65" i="14"/>
  <c r="O67" i="14" s="1"/>
  <c r="O69" i="14"/>
  <c r="E108" i="49" s="1"/>
  <c r="I108" i="49" s="1"/>
  <c r="H67" i="20"/>
  <c r="P64" i="20"/>
  <c r="G67" i="19"/>
  <c r="O64" i="19"/>
  <c r="M65" i="14"/>
  <c r="M67" i="14" s="1"/>
  <c r="M67" i="29"/>
  <c r="H65" i="14"/>
  <c r="P64" i="14"/>
  <c r="F67" i="20"/>
  <c r="N64" i="20"/>
  <c r="H67" i="19"/>
  <c r="P64" i="19"/>
  <c r="C68" i="14"/>
  <c r="G65" i="19"/>
  <c r="C68" i="20"/>
  <c r="H65" i="20"/>
  <c r="C70" i="29"/>
  <c r="I64" i="19"/>
  <c r="E67" i="19"/>
  <c r="D64" i="20"/>
  <c r="D65" i="20" s="1"/>
  <c r="D67" i="20" s="1"/>
  <c r="E67" i="20"/>
  <c r="C68" i="29"/>
  <c r="G67" i="29"/>
  <c r="G70" i="29" s="1"/>
  <c r="G67" i="14"/>
  <c r="H67" i="29"/>
  <c r="H70" i="29" s="1"/>
  <c r="H67" i="14"/>
  <c r="H68" i="14" s="1"/>
  <c r="E67" i="29"/>
  <c r="E70" i="29" s="1"/>
  <c r="E67" i="14"/>
  <c r="F67" i="29"/>
  <c r="F67" i="14"/>
  <c r="K64" i="19"/>
  <c r="K65" i="19" s="1"/>
  <c r="L64" i="14"/>
  <c r="L65" i="14" s="1"/>
  <c r="I64" i="14"/>
  <c r="I65" i="14" s="1"/>
  <c r="E65" i="14"/>
  <c r="D64" i="14"/>
  <c r="D65" i="14" s="1"/>
  <c r="D67" i="14" s="1"/>
  <c r="L64" i="20"/>
  <c r="L65" i="20" s="1"/>
  <c r="H33" i="34"/>
  <c r="I33" i="34" s="1"/>
  <c r="K65" i="14"/>
  <c r="F65" i="19"/>
  <c r="J64" i="19"/>
  <c r="J65" i="19" s="1"/>
  <c r="G65" i="20"/>
  <c r="G68" i="20" s="1"/>
  <c r="K64" i="20"/>
  <c r="K65" i="20" s="1"/>
  <c r="F65" i="14"/>
  <c r="J64" i="14"/>
  <c r="H65" i="19"/>
  <c r="L64" i="19"/>
  <c r="L65" i="19" s="1"/>
  <c r="E65" i="19"/>
  <c r="F65" i="20"/>
  <c r="J64" i="20"/>
  <c r="J65" i="20" s="1"/>
  <c r="H34" i="34"/>
  <c r="I34" i="34" s="1"/>
  <c r="I64" i="20"/>
  <c r="E65" i="20"/>
  <c r="D64" i="19"/>
  <c r="D65" i="19" s="1"/>
  <c r="D67" i="19" s="1"/>
  <c r="H35" i="34"/>
  <c r="I35" i="34" s="1"/>
  <c r="I6" i="34"/>
  <c r="H25" i="34"/>
  <c r="G65" i="14"/>
  <c r="I52" i="30" l="1"/>
  <c r="I53" i="30" s="1"/>
  <c r="H53" i="30"/>
  <c r="H68" i="20"/>
  <c r="M69" i="14"/>
  <c r="C108" i="49" s="1"/>
  <c r="G108" i="49" s="1"/>
  <c r="F68" i="19"/>
  <c r="G68" i="19"/>
  <c r="H68" i="19"/>
  <c r="M69" i="19"/>
  <c r="C110" i="49" s="1"/>
  <c r="G110" i="49" s="1"/>
  <c r="O65" i="19"/>
  <c r="O67" i="19" s="1"/>
  <c r="N65" i="19"/>
  <c r="N67" i="19" s="1"/>
  <c r="G32" i="49"/>
  <c r="M32" i="49"/>
  <c r="N32" i="49" s="1"/>
  <c r="N65" i="20"/>
  <c r="N67" i="20" s="1"/>
  <c r="N69" i="20"/>
  <c r="D109" i="49" s="1"/>
  <c r="H109" i="49" s="1"/>
  <c r="N69" i="14"/>
  <c r="D108" i="49" s="1"/>
  <c r="H108" i="49" s="1"/>
  <c r="D80" i="49"/>
  <c r="J26" i="49"/>
  <c r="D99" i="49" s="1"/>
  <c r="Q67" i="29"/>
  <c r="M68" i="29"/>
  <c r="P65" i="20"/>
  <c r="P67" i="20" s="1"/>
  <c r="O67" i="29"/>
  <c r="O65" i="20"/>
  <c r="O67" i="20" s="1"/>
  <c r="F68" i="20"/>
  <c r="P65" i="19"/>
  <c r="P67" i="19" s="1"/>
  <c r="P67" i="29"/>
  <c r="P65" i="14"/>
  <c r="P67" i="14" s="1"/>
  <c r="M69" i="20"/>
  <c r="C109" i="49" s="1"/>
  <c r="G109" i="49" s="1"/>
  <c r="N67" i="29"/>
  <c r="J67" i="19"/>
  <c r="J69" i="19"/>
  <c r="K67" i="20"/>
  <c r="K69" i="20"/>
  <c r="I65" i="19"/>
  <c r="I67" i="19" s="1"/>
  <c r="L67" i="19"/>
  <c r="L69" i="19"/>
  <c r="K67" i="14"/>
  <c r="K69" i="14"/>
  <c r="J67" i="20"/>
  <c r="J69" i="20"/>
  <c r="I67" i="14"/>
  <c r="I69" i="14"/>
  <c r="L67" i="14"/>
  <c r="L69" i="14"/>
  <c r="K67" i="19"/>
  <c r="K69" i="19"/>
  <c r="L67" i="20"/>
  <c r="L69" i="20"/>
  <c r="C71" i="29"/>
  <c r="G68" i="29"/>
  <c r="G71" i="29" s="1"/>
  <c r="E68" i="19"/>
  <c r="E68" i="20"/>
  <c r="E68" i="29"/>
  <c r="E71" i="29" s="1"/>
  <c r="F68" i="14"/>
  <c r="H68" i="29"/>
  <c r="H71" i="29" s="1"/>
  <c r="G68" i="14"/>
  <c r="E68" i="14"/>
  <c r="L67" i="29"/>
  <c r="L68" i="29" s="1"/>
  <c r="L70" i="29" s="1"/>
  <c r="F3" i="29" s="1"/>
  <c r="K67" i="29"/>
  <c r="K68" i="29" s="1"/>
  <c r="K70" i="29" s="1"/>
  <c r="E3" i="29" s="1"/>
  <c r="H52" i="34"/>
  <c r="D67" i="29"/>
  <c r="D68" i="29" s="1"/>
  <c r="D70" i="29" s="1"/>
  <c r="J65" i="14"/>
  <c r="I65" i="20"/>
  <c r="I67" i="29"/>
  <c r="I68" i="29" s="1"/>
  <c r="I70" i="29" s="1"/>
  <c r="C3" i="29" s="1"/>
  <c r="I52" i="34"/>
  <c r="I25" i="34"/>
  <c r="J25" i="34" s="1"/>
  <c r="J6" i="34"/>
  <c r="J52" i="30" l="1"/>
  <c r="J53" i="30" s="1"/>
  <c r="O69" i="20"/>
  <c r="E109" i="49" s="1"/>
  <c r="I109" i="49" s="1"/>
  <c r="O69" i="19"/>
  <c r="E110" i="49" s="1"/>
  <c r="I110" i="49" s="1"/>
  <c r="N69" i="19"/>
  <c r="D110" i="49" s="1"/>
  <c r="H110" i="49" s="1"/>
  <c r="P69" i="14"/>
  <c r="F108" i="49" s="1"/>
  <c r="J108" i="49" s="1"/>
  <c r="S67" i="29"/>
  <c r="O68" i="29"/>
  <c r="P69" i="20"/>
  <c r="F109" i="49" s="1"/>
  <c r="J109" i="49" s="1"/>
  <c r="R67" i="29"/>
  <c r="N68" i="29"/>
  <c r="T67" i="29"/>
  <c r="P68" i="29"/>
  <c r="P69" i="19"/>
  <c r="F110" i="49" s="1"/>
  <c r="J110" i="49" s="1"/>
  <c r="Q68" i="29"/>
  <c r="Q70" i="29" s="1"/>
  <c r="M70" i="29"/>
  <c r="C4" i="29" s="1"/>
  <c r="I69" i="19"/>
  <c r="I67" i="20"/>
  <c r="I69" i="20"/>
  <c r="J67" i="14"/>
  <c r="J69" i="14"/>
  <c r="H3" i="29"/>
  <c r="N3" i="29"/>
  <c r="J3" i="29"/>
  <c r="P3" i="29"/>
  <c r="K3" i="29"/>
  <c r="Q3" i="29"/>
  <c r="N33" i="5"/>
  <c r="N43" i="5" s="1"/>
  <c r="F33" i="5"/>
  <c r="F36" i="29" s="1"/>
  <c r="F27" i="5"/>
  <c r="F30" i="29" s="1"/>
  <c r="F38" i="29"/>
  <c r="J64" i="5"/>
  <c r="J67" i="29" s="1"/>
  <c r="F34" i="5"/>
  <c r="F37" i="29" s="1"/>
  <c r="F45" i="29"/>
  <c r="F41" i="29"/>
  <c r="F61" i="5"/>
  <c r="F67" i="5" s="1"/>
  <c r="F63" i="29"/>
  <c r="F64" i="29" s="1"/>
  <c r="F70" i="29" s="1"/>
  <c r="F65" i="5"/>
  <c r="J63" i="5"/>
  <c r="J66" i="29" s="1"/>
  <c r="F43" i="29"/>
  <c r="F26" i="5"/>
  <c r="F29" i="29" s="1"/>
  <c r="F40" i="29"/>
  <c r="J37" i="5"/>
  <c r="F42" i="29"/>
  <c r="F35" i="29"/>
  <c r="J32" i="5"/>
  <c r="F47" i="5"/>
  <c r="N47" i="5" s="1"/>
  <c r="F48" i="5"/>
  <c r="F28" i="5"/>
  <c r="F31" i="29" s="1"/>
  <c r="F25" i="5"/>
  <c r="C92" i="6"/>
  <c r="J52" i="49" s="1"/>
  <c r="J73" i="49" s="1"/>
  <c r="N73" i="49" s="1"/>
  <c r="F44" i="29"/>
  <c r="K52" i="30" l="1"/>
  <c r="K53" i="30" s="1"/>
  <c r="E127" i="49"/>
  <c r="I127" i="49"/>
  <c r="J47" i="5"/>
  <c r="J50" i="29" s="1"/>
  <c r="J127" i="49"/>
  <c r="C113" i="6"/>
  <c r="G113" i="6" s="1"/>
  <c r="N50" i="29"/>
  <c r="T68" i="29"/>
  <c r="T70" i="29" s="1"/>
  <c r="P70" i="29"/>
  <c r="F4" i="29" s="1"/>
  <c r="N4" i="29"/>
  <c r="H4" i="29"/>
  <c r="S68" i="29"/>
  <c r="S70" i="29" s="1"/>
  <c r="O70" i="29"/>
  <c r="E4" i="29" s="1"/>
  <c r="J48" i="5"/>
  <c r="J51" i="29" s="1"/>
  <c r="N48" i="5"/>
  <c r="N51" i="29" s="1"/>
  <c r="R51" i="29" s="1"/>
  <c r="F127" i="49"/>
  <c r="R68" i="29"/>
  <c r="R70" i="29" s="1"/>
  <c r="N70" i="29"/>
  <c r="C127" i="49"/>
  <c r="G127" i="49"/>
  <c r="J35" i="29"/>
  <c r="F29" i="5"/>
  <c r="F28" i="29"/>
  <c r="F32" i="29" s="1"/>
  <c r="F49" i="5"/>
  <c r="J43" i="5"/>
  <c r="N36" i="29"/>
  <c r="F46" i="29"/>
  <c r="J68" i="29"/>
  <c r="J70" i="29" s="1"/>
  <c r="F50" i="29"/>
  <c r="F51" i="29"/>
  <c r="J40" i="29"/>
  <c r="J65" i="5"/>
  <c r="J67" i="5" s="1"/>
  <c r="F43" i="5"/>
  <c r="F68" i="29"/>
  <c r="J49" i="5" l="1"/>
  <c r="J52" i="29"/>
  <c r="N49" i="5"/>
  <c r="J4" i="29"/>
  <c r="P4" i="29"/>
  <c r="N69" i="5"/>
  <c r="D106" i="49" s="1"/>
  <c r="H106" i="49" s="1"/>
  <c r="R50" i="29"/>
  <c r="R52" i="29" s="1"/>
  <c r="N52" i="29"/>
  <c r="K4" i="29"/>
  <c r="Q4" i="29"/>
  <c r="J69" i="5"/>
  <c r="J46" i="29"/>
  <c r="F68" i="5"/>
  <c r="N46" i="29"/>
  <c r="R36" i="29"/>
  <c r="R46" i="29" s="1"/>
  <c r="F52" i="29"/>
  <c r="F71" i="29" s="1"/>
  <c r="D3" i="29" l="1"/>
  <c r="I3" i="29" s="1"/>
  <c r="D4" i="29"/>
  <c r="O4" i="29" s="1"/>
  <c r="D127" i="49"/>
  <c r="H127" i="49"/>
  <c r="B25" i="29"/>
  <c r="B11" i="29"/>
  <c r="B9" i="29"/>
  <c r="B12" i="29"/>
  <c r="B24" i="29"/>
  <c r="B20" i="29"/>
  <c r="B22" i="29"/>
  <c r="B18" i="29"/>
  <c r="B10" i="29"/>
  <c r="B21" i="29"/>
  <c r="B19" i="29"/>
  <c r="B23" i="29"/>
  <c r="E26" i="46"/>
  <c r="O3" i="29" l="1"/>
  <c r="I4" i="29"/>
</calcChain>
</file>

<file path=xl/comments1.xml><?xml version="1.0" encoding="utf-8"?>
<comments xmlns="http://schemas.openxmlformats.org/spreadsheetml/2006/main">
  <authors>
    <author>Brett</author>
  </authors>
  <commentList>
    <comment ref="M3" authorId="0">
      <text>
        <r>
          <rPr>
            <b/>
            <sz val="9"/>
            <color indexed="81"/>
            <rFont val="Tahoma"/>
            <family val="2"/>
          </rPr>
          <t xml:space="preserve">Brett Cowan:
</t>
        </r>
        <r>
          <rPr>
            <sz val="9"/>
            <color indexed="81"/>
            <rFont val="Tahoma"/>
            <family val="2"/>
          </rPr>
          <t>Calculated by adding Total Retail Sales with Direct Use to achieve the Total Consumption of Electricity as directed by Paul Hesse of EIA. Ref 1</t>
        </r>
      </text>
    </comment>
    <comment ref="M4" authorId="0">
      <text>
        <r>
          <rPr>
            <b/>
            <sz val="9"/>
            <color indexed="81"/>
            <rFont val="Tahoma"/>
            <family val="2"/>
          </rPr>
          <t xml:space="preserve">Brett Cowan:
</t>
        </r>
        <r>
          <rPr>
            <sz val="9"/>
            <color indexed="81"/>
            <rFont val="Tahoma"/>
            <family val="2"/>
          </rPr>
          <t>Determined by the addition of the Motor Gasoline and 88.1% of Distillate Fuel statistics (11.9% is used for home heating) then converted to gallons. Jet Fuel (44.7 million barrels) is not included in the calculation. Ref 2</t>
        </r>
      </text>
    </comment>
    <comment ref="B63" authorId="0">
      <text>
        <r>
          <rPr>
            <b/>
            <sz val="9"/>
            <color indexed="81"/>
            <rFont val="Tahoma"/>
            <family val="2"/>
          </rPr>
          <t>Brett Cowan:</t>
        </r>
        <r>
          <rPr>
            <sz val="9"/>
            <color indexed="81"/>
            <rFont val="Tahoma"/>
            <family val="2"/>
          </rPr>
          <t xml:space="preserve">
The current biosolids data is from 2011, so the estimated quantity for 2015, 2020, and 2025 has been adjusted for a base year of 2011. It is assumed that the population growth between the 5-year intervals to be linear, so fractions such as 4/5, 9/10, and 14/15 are utilized in the aforementioned year equations, respectively. See each county's sheet for more details.</t>
        </r>
      </text>
    </comment>
    <comment ref="B66" authorId="0">
      <text>
        <r>
          <rPr>
            <b/>
            <sz val="9"/>
            <color indexed="81"/>
            <rFont val="Tahoma"/>
            <family val="2"/>
          </rPr>
          <t>Brett Cowan:</t>
        </r>
        <r>
          <rPr>
            <sz val="9"/>
            <color indexed="81"/>
            <rFont val="Tahoma"/>
            <family val="2"/>
          </rPr>
          <t xml:space="preserve">
The current biogas data is from 2011, so the estimated quantity for 2015, 2020, and 2025 has been adjusted for a base year of 2011. It is assumed that the population growth between the 5-year intervals to be linear, so fractions such as 4/5, 9/10, and 14/15 are utilized in the aforementioned year equations, respectively. See each county's sheet for more details.</t>
        </r>
      </text>
    </comment>
    <comment ref="B67" authorId="0">
      <text>
        <r>
          <rPr>
            <b/>
            <sz val="9"/>
            <color indexed="81"/>
            <rFont val="Tahoma"/>
            <family val="2"/>
          </rPr>
          <t>Brett Cowan:</t>
        </r>
        <r>
          <rPr>
            <sz val="9"/>
            <color indexed="81"/>
            <rFont val="Tahoma"/>
            <family val="2"/>
          </rPr>
          <t xml:space="preserve">
The current LFG data is from 2012, so the estimated quantity for 2015, 2020, and 2025 has been adjusted for a base year of 2012. The population growth fractions were 3/5, 4/5, and 13/15 respectively (same assumption as that of biosolids and biogas). As for the MSW growth rate, the percentage increase from 2010 to 2012 was subtracted from each interval's growth rate to align with a base year of 2012.</t>
        </r>
      </text>
    </comment>
    <comment ref="B70" authorId="0">
      <text>
        <r>
          <rPr>
            <b/>
            <sz val="9"/>
            <color indexed="81"/>
            <rFont val="Tahoma"/>
            <family val="2"/>
          </rPr>
          <t>Brett Cowan:</t>
        </r>
        <r>
          <rPr>
            <sz val="9"/>
            <color indexed="81"/>
            <rFont val="Tahoma"/>
            <family val="2"/>
          </rPr>
          <t xml:space="preserve">
Both the biogas and LFG are recorded in mmscf, so they were converted into tons (i.e. dry tons) by using 29487.1582406855 scf biogas/ton biogas (assuming 65% methane, 35% carbon dioxide) and 25364.5039539246 scf LFG/ton LFG (assuming 50% methane, 50% carbon dioxide).</t>
        </r>
      </text>
    </comment>
  </commentList>
</comments>
</file>

<file path=xl/comments2.xml><?xml version="1.0" encoding="utf-8"?>
<comments xmlns="http://schemas.openxmlformats.org/spreadsheetml/2006/main">
  <authors>
    <author>Brett</author>
    <author>Kevin Sullivan</author>
  </authors>
  <commentList>
    <comment ref="F2" authorId="0">
      <text>
        <r>
          <rPr>
            <b/>
            <sz val="9"/>
            <color indexed="81"/>
            <rFont val="Tahoma"/>
            <family val="2"/>
          </rPr>
          <t>Brett Cowan:</t>
        </r>
        <r>
          <rPr>
            <sz val="9"/>
            <color indexed="81"/>
            <rFont val="Tahoma"/>
            <family val="2"/>
          </rPr>
          <t xml:space="preserve">
This statistic is reported but not utilized in the Net Usable Percentage because some data recorded in the Calculator is what is already collected in each county. Any feedstock with a percentage in this column falls within that category.</t>
        </r>
      </text>
    </comment>
    <comment ref="L18" authorId="1">
      <text>
        <r>
          <rPr>
            <b/>
            <sz val="8"/>
            <color indexed="81"/>
            <rFont val="Tahoma"/>
            <family val="2"/>
          </rPr>
          <t xml:space="preserve">Provided by Dave Specca NJAES:  </t>
        </r>
        <r>
          <rPr>
            <sz val="8"/>
            <color indexed="81"/>
            <rFont val="Tahoma"/>
            <family val="2"/>
          </rPr>
          <t>European Biomass Industry Association's range of moisture in fresh forest wood chips, is 40-60%. We used used 50% in the calculations.  Ed Lempicky, head forester at NJ DEP, confirmed this percentage.</t>
        </r>
      </text>
    </comment>
  </commentList>
</comments>
</file>

<file path=xl/comments3.xml><?xml version="1.0" encoding="utf-8"?>
<comments xmlns="http://schemas.openxmlformats.org/spreadsheetml/2006/main">
  <authors>
    <author>Kevin Sullivan</author>
  </authors>
  <commentList>
    <comment ref="E18" authorId="0">
      <text>
        <r>
          <rPr>
            <b/>
            <sz val="8"/>
            <color indexed="81"/>
            <rFont val="Tahoma"/>
            <family val="2"/>
          </rPr>
          <t>Dave Specca (NJAES):</t>
        </r>
        <r>
          <rPr>
            <sz val="8"/>
            <color indexed="81"/>
            <rFont val="Tahoma"/>
            <family val="2"/>
          </rPr>
          <t xml:space="preserve"> 
50% moisture content Information provided by  Edward Lempicki (NJDEP) . This number fits within the European Biomass Industry Association’s range of moisture in fresh forest wood chips, which is 40-60% (http://p9719.typo3server.info/115.0.html).   </t>
        </r>
      </text>
    </comment>
    <comment ref="E26" authorId="0">
      <text>
        <r>
          <rPr>
            <b/>
            <sz val="8"/>
            <color indexed="81"/>
            <rFont val="Tahoma"/>
            <family val="2"/>
          </rPr>
          <t xml:space="preserve">Ryan Katofski (NCI):  </t>
        </r>
        <r>
          <rPr>
            <sz val="8"/>
            <color indexed="81"/>
            <rFont val="Tahoma"/>
            <family val="2"/>
          </rPr>
          <t xml:space="preserve">
Generally, the moisture content of food waste is quite high. On a dry basis, the energy content of most biomass is very similar. In some recent work for the California Energy Commission, a 70% moisture content was used and is applied here. The PIER-funded biogas digester at UC Davis reported that the average moisture content of food waste is around 70% (ranging from 66% to 73%) [Reference: Characterization of Food and Green Waste as feedstock for Anaerobic Digestion, PIER-funded biogas project (an interim report)]. </t>
        </r>
      </text>
    </comment>
    <comment ref="E40" authorId="0">
      <text>
        <r>
          <rPr>
            <b/>
            <sz val="8"/>
            <color indexed="81"/>
            <rFont val="Tahoma"/>
            <family val="2"/>
          </rPr>
          <t>Dave Specca (NJAES):</t>
        </r>
        <r>
          <rPr>
            <sz val="8"/>
            <color indexed="81"/>
            <rFont val="Tahoma"/>
            <family val="2"/>
          </rPr>
          <t xml:space="preserve">  
This is a conservative estimate. Some sources site  between 75 and 90% moisture and solids. 5%  dry weight figure provided by  Russell Reed, trap grease hauler in NJ.</t>
        </r>
      </text>
    </comment>
  </commentList>
</comments>
</file>

<file path=xl/comments4.xml><?xml version="1.0" encoding="utf-8"?>
<comments xmlns="http://schemas.openxmlformats.org/spreadsheetml/2006/main">
  <authors>
    <author>Brett</author>
    <author>Kevin Sullivan</author>
  </authors>
  <commentList>
    <comment ref="G4" authorId="0">
      <text>
        <r>
          <rPr>
            <b/>
            <sz val="9"/>
            <color indexed="81"/>
            <rFont val="Tahoma"/>
            <family val="2"/>
          </rPr>
          <t>Brett Cowan:</t>
        </r>
        <r>
          <rPr>
            <sz val="9"/>
            <color indexed="81"/>
            <rFont val="Tahoma"/>
            <family val="2"/>
          </rPr>
          <t xml:space="preserve">
The electrical efficiency range was stated as 15% - 35% (pg. 7), so took the average between the extremes to arrive at 25%.</t>
        </r>
      </text>
    </comment>
    <comment ref="G5" authorId="0">
      <text>
        <r>
          <rPr>
            <b/>
            <sz val="9"/>
            <color indexed="81"/>
            <rFont val="Tahoma"/>
            <family val="2"/>
          </rPr>
          <t>Brett Cowan:</t>
        </r>
        <r>
          <rPr>
            <sz val="9"/>
            <color indexed="81"/>
            <rFont val="Tahoma"/>
            <family val="2"/>
          </rPr>
          <t xml:space="preserve">
Based on a 25 MW plant running on synthesis gas (see Figure 8).</t>
        </r>
      </text>
    </comment>
    <comment ref="G6" authorId="0">
      <text>
        <r>
          <rPr>
            <b/>
            <sz val="9"/>
            <color indexed="81"/>
            <rFont val="Tahoma"/>
            <family val="2"/>
          </rPr>
          <t>Brett Cowan:</t>
        </r>
        <r>
          <rPr>
            <sz val="9"/>
            <color indexed="81"/>
            <rFont val="Tahoma"/>
            <family val="2"/>
          </rPr>
          <t xml:space="preserve">
Based on a 560.36 MW plant running on synthesis gas (See Figure 8).</t>
        </r>
      </text>
    </comment>
    <comment ref="G7" authorId="0">
      <text>
        <r>
          <rPr>
            <b/>
            <sz val="9"/>
            <color indexed="81"/>
            <rFont val="Tahoma"/>
            <family val="2"/>
          </rPr>
          <t>Brett Cowan:</t>
        </r>
        <r>
          <rPr>
            <sz val="9"/>
            <color indexed="81"/>
            <rFont val="Tahoma"/>
            <family val="2"/>
          </rPr>
          <t xml:space="preserve">
Electrical efficiency range stated as 35% - 43%, took median of extremes to get 39%. Assumes a 500-750 MW plant, presumably a retrofit of existing coal plant (See Table 3).</t>
        </r>
      </text>
    </comment>
    <comment ref="G8" authorId="1">
      <text>
        <r>
          <rPr>
            <b/>
            <sz val="9"/>
            <color indexed="81"/>
            <rFont val="Tahoma"/>
            <family val="2"/>
          </rPr>
          <t>Ryan Katofski (NCI):</t>
        </r>
        <r>
          <rPr>
            <sz val="9"/>
            <color indexed="81"/>
            <rFont val="Tahoma"/>
            <family val="2"/>
          </rPr>
          <t xml:space="preserve">
Assumption  is that an engine-generator has the same efficiency as  landfill gas, and the digester is 75% efficient at converting feedstock into biogas, thus  33% * 75% = 25%.
</t>
        </r>
        <r>
          <rPr>
            <b/>
            <sz val="9"/>
            <color indexed="81"/>
            <rFont val="Tahoma"/>
            <family val="2"/>
          </rPr>
          <t>Brett Cowan:</t>
        </r>
        <r>
          <rPr>
            <sz val="9"/>
            <color indexed="81"/>
            <rFont val="Tahoma"/>
            <family val="2"/>
          </rPr>
          <t xml:space="preserve"> 
Due to new efficiency information for IC engines and based on assumptions made previously, the efficiency would be 35% * 75% = 26.25%</t>
        </r>
      </text>
    </comment>
    <comment ref="G9" authorId="0">
      <text>
        <r>
          <rPr>
            <b/>
            <sz val="9"/>
            <color indexed="81"/>
            <rFont val="Tahoma"/>
            <family val="2"/>
          </rPr>
          <t>Brett Cowan:</t>
        </r>
        <r>
          <rPr>
            <sz val="9"/>
            <color indexed="81"/>
            <rFont val="Tahoma"/>
            <family val="2"/>
          </rPr>
          <t xml:space="preserve">
Used GREET's default electrical efficiency for IC engines, stated in the first paragraph of section 3.5.2</t>
        </r>
      </text>
    </comment>
    <comment ref="G10" authorId="0">
      <text>
        <r>
          <rPr>
            <b/>
            <sz val="9"/>
            <color indexed="81"/>
            <rFont val="Tahoma"/>
            <family val="2"/>
          </rPr>
          <t>Brett Cowan:</t>
        </r>
        <r>
          <rPr>
            <sz val="9"/>
            <color indexed="81"/>
            <rFont val="Tahoma"/>
            <family val="2"/>
          </rPr>
          <t xml:space="preserve">
First source has efficiency range of 20% - 25% and second source has efficiency of 22%. Considering 22% was close to the median value of the range, I decided to use 22.5%</t>
        </r>
      </text>
    </comment>
    <comment ref="G11" authorId="0">
      <text>
        <r>
          <rPr>
            <b/>
            <sz val="9"/>
            <color indexed="81"/>
            <rFont val="Tahoma"/>
            <family val="2"/>
          </rPr>
          <t xml:space="preserve">Brett Cowan:
</t>
        </r>
        <r>
          <rPr>
            <sz val="9"/>
            <color indexed="81"/>
            <rFont val="Tahoma"/>
            <family val="2"/>
          </rPr>
          <t>Unchanged</t>
        </r>
      </text>
    </comment>
    <comment ref="G12" authorId="1">
      <text>
        <r>
          <rPr>
            <b/>
            <sz val="9"/>
            <color indexed="81"/>
            <rFont val="Tahoma"/>
            <family val="2"/>
          </rPr>
          <t xml:space="preserve">Ryan Katofski (NCI): </t>
        </r>
        <r>
          <rPr>
            <sz val="9"/>
            <color indexed="81"/>
            <rFont val="Tahoma"/>
            <family val="2"/>
          </rPr>
          <t xml:space="preserve">
Generally speaking, small-scale gasifiers are about 70-75% efficient.  Gas cleanup (30%) followed by engine efficiency, (33%) has to be factored in as well. Thus, the calculation is as follows:  70% * 90% * 33% to account for all steps (gasifier-cleanup-engine), which yields 21%. Depending on how well designed the system is, it could be lower, but unlikely to be much higher.
</t>
        </r>
        <r>
          <rPr>
            <b/>
            <sz val="9"/>
            <color indexed="81"/>
            <rFont val="Tahoma"/>
            <family val="2"/>
          </rPr>
          <t xml:space="preserve">Brett Cowan:
</t>
        </r>
        <r>
          <rPr>
            <sz val="9"/>
            <color indexed="81"/>
            <rFont val="Tahoma"/>
            <family val="2"/>
          </rPr>
          <t>Unchanged</t>
        </r>
        <r>
          <rPr>
            <sz val="10"/>
            <color indexed="81"/>
            <rFont val="Tahoma"/>
            <family val="2"/>
          </rPr>
          <t xml:space="preserve">
</t>
        </r>
      </text>
    </comment>
    <comment ref="G16" authorId="0">
      <text>
        <r>
          <rPr>
            <b/>
            <sz val="9"/>
            <color indexed="81"/>
            <rFont val="Tahoma"/>
            <family val="2"/>
          </rPr>
          <t>Brett Cowan:</t>
        </r>
        <r>
          <rPr>
            <sz val="9"/>
            <color indexed="81"/>
            <rFont val="Tahoma"/>
            <family val="2"/>
          </rPr>
          <t xml:space="preserve">
Conversion rate is equivalent to corn</t>
        </r>
      </text>
    </comment>
    <comment ref="G17" authorId="0">
      <text>
        <r>
          <rPr>
            <b/>
            <sz val="9"/>
            <color indexed="81"/>
            <rFont val="Tahoma"/>
            <family val="2"/>
          </rPr>
          <t>Brett Cowan:</t>
        </r>
        <r>
          <rPr>
            <sz val="9"/>
            <color indexed="81"/>
            <rFont val="Tahoma"/>
            <family val="2"/>
          </rPr>
          <t xml:space="preserve">
Unchanged</t>
        </r>
      </text>
    </comment>
    <comment ref="G18" authorId="0">
      <text>
        <r>
          <rPr>
            <b/>
            <sz val="9"/>
            <color indexed="81"/>
            <rFont val="Tahoma"/>
            <family val="2"/>
          </rPr>
          <t>Brett Cowan:</t>
        </r>
        <r>
          <rPr>
            <sz val="9"/>
            <color indexed="81"/>
            <rFont val="Tahoma"/>
            <family val="2"/>
          </rPr>
          <t xml:space="preserve">
Current ethanol yield is around 2.8 gal/bu. The yield of 2.9 gal/bu came from the National Corn Growers Association's projected yields for the 2015-2016 at a medium case. I assumed that a yield of 3.0 gal/bu would be achievable in 2020 (based on high case scenario) and remain constant.</t>
        </r>
      </text>
    </comment>
    <comment ref="G19" authorId="0">
      <text>
        <r>
          <rPr>
            <b/>
            <sz val="9"/>
            <color indexed="81"/>
            <rFont val="Tahoma"/>
            <family val="2"/>
          </rPr>
          <t>Brett Cowan:</t>
        </r>
        <r>
          <rPr>
            <sz val="9"/>
            <color indexed="81"/>
            <rFont val="Tahoma"/>
            <family val="2"/>
          </rPr>
          <t xml:space="preserve">
Unchanged</t>
        </r>
      </text>
    </comment>
    <comment ref="G20" authorId="0">
      <text>
        <r>
          <rPr>
            <b/>
            <sz val="9"/>
            <color indexed="81"/>
            <rFont val="Tahoma"/>
            <family val="2"/>
          </rPr>
          <t>Brett Cowan:</t>
        </r>
        <r>
          <rPr>
            <sz val="9"/>
            <color indexed="81"/>
            <rFont val="Tahoma"/>
            <family val="2"/>
          </rPr>
          <t xml:space="preserve">
Based on assumption of 1.5 gallons of biodiesel per bushel of soybeans (60 lbs/bushel). Note: Soybeans contain 18% - 20% oil.</t>
        </r>
      </text>
    </comment>
    <comment ref="G21" authorId="0">
      <text>
        <r>
          <rPr>
            <b/>
            <sz val="9"/>
            <color indexed="81"/>
            <rFont val="Tahoma"/>
            <family val="2"/>
          </rPr>
          <t>Brett Cowan:</t>
        </r>
        <r>
          <rPr>
            <sz val="9"/>
            <color indexed="81"/>
            <rFont val="Tahoma"/>
            <family val="2"/>
          </rPr>
          <t xml:space="preserve">
Unchanged</t>
        </r>
      </text>
    </comment>
    <comment ref="G22" authorId="0">
      <text>
        <r>
          <rPr>
            <b/>
            <sz val="9"/>
            <color indexed="81"/>
            <rFont val="Tahoma"/>
            <family val="2"/>
          </rPr>
          <t>Brett Cowan:</t>
        </r>
        <r>
          <rPr>
            <sz val="9"/>
            <color indexed="81"/>
            <rFont val="Tahoma"/>
            <family val="2"/>
          </rPr>
          <t xml:space="preserve">
Unchanged
</t>
        </r>
      </text>
    </comment>
    <comment ref="G23" authorId="0">
      <text>
        <r>
          <rPr>
            <b/>
            <sz val="9"/>
            <color indexed="81"/>
            <rFont val="Tahoma"/>
            <family val="2"/>
          </rPr>
          <t>Brett Cowan:</t>
        </r>
        <r>
          <rPr>
            <sz val="9"/>
            <color indexed="81"/>
            <rFont val="Tahoma"/>
            <family val="2"/>
          </rPr>
          <t xml:space="preserve">
Unchanged</t>
        </r>
      </text>
    </comment>
    <comment ref="G24" authorId="0">
      <text>
        <r>
          <rPr>
            <b/>
            <sz val="9"/>
            <color indexed="81"/>
            <rFont val="Tahoma"/>
            <family val="2"/>
          </rPr>
          <t>Brett Cowan:</t>
        </r>
        <r>
          <rPr>
            <sz val="9"/>
            <color indexed="81"/>
            <rFont val="Tahoma"/>
            <family val="2"/>
          </rPr>
          <t xml:space="preserve">
Unchanged</t>
        </r>
      </text>
    </comment>
    <comment ref="G25" authorId="0">
      <text>
        <r>
          <rPr>
            <b/>
            <sz val="9"/>
            <color indexed="81"/>
            <rFont val="Tahoma"/>
            <family val="2"/>
          </rPr>
          <t>Brett Cowan:</t>
        </r>
        <r>
          <rPr>
            <sz val="9"/>
            <color indexed="81"/>
            <rFont val="Tahoma"/>
            <family val="2"/>
          </rPr>
          <t xml:space="preserve">
Unchanged</t>
        </r>
      </text>
    </comment>
    <comment ref="G26" authorId="0">
      <text>
        <r>
          <rPr>
            <b/>
            <sz val="9"/>
            <color indexed="81"/>
            <rFont val="Tahoma"/>
            <family val="2"/>
          </rPr>
          <t>Brett Cowan:</t>
        </r>
        <r>
          <rPr>
            <sz val="9"/>
            <color indexed="81"/>
            <rFont val="Tahoma"/>
            <family val="2"/>
          </rPr>
          <t xml:space="preserve">
Unchanged</t>
        </r>
      </text>
    </comment>
    <comment ref="G27" authorId="0">
      <text>
        <r>
          <rPr>
            <b/>
            <sz val="9"/>
            <color indexed="81"/>
            <rFont val="Tahoma"/>
            <family val="2"/>
          </rPr>
          <t>Brett Cowan:</t>
        </r>
        <r>
          <rPr>
            <sz val="9"/>
            <color indexed="81"/>
            <rFont val="Tahoma"/>
            <family val="2"/>
          </rPr>
          <t xml:space="preserve">
Unchanged</t>
        </r>
      </text>
    </comment>
    <comment ref="G28" authorId="0">
      <text>
        <r>
          <rPr>
            <b/>
            <sz val="9"/>
            <color indexed="81"/>
            <rFont val="Tahoma"/>
            <family val="2"/>
          </rPr>
          <t>Brett Cowan:</t>
        </r>
        <r>
          <rPr>
            <sz val="9"/>
            <color indexed="81"/>
            <rFont val="Tahoma"/>
            <family val="2"/>
          </rPr>
          <t xml:space="preserve">
Unchanged</t>
        </r>
      </text>
    </comment>
    <comment ref="G29" authorId="0">
      <text>
        <r>
          <rPr>
            <b/>
            <sz val="9"/>
            <color indexed="81"/>
            <rFont val="Tahoma"/>
            <family val="2"/>
          </rPr>
          <t>Brett Cowan:</t>
        </r>
        <r>
          <rPr>
            <sz val="9"/>
            <color indexed="81"/>
            <rFont val="Tahoma"/>
            <family val="2"/>
          </rPr>
          <t xml:space="preserve">
Unchanged</t>
        </r>
      </text>
    </comment>
    <comment ref="G30" authorId="0">
      <text>
        <r>
          <rPr>
            <b/>
            <sz val="9"/>
            <color indexed="81"/>
            <rFont val="Tahoma"/>
            <family val="2"/>
          </rPr>
          <t>Brett Cowan:</t>
        </r>
        <r>
          <rPr>
            <sz val="9"/>
            <color indexed="81"/>
            <rFont val="Tahoma"/>
            <family val="2"/>
          </rPr>
          <t xml:space="preserve">
Unchanged</t>
        </r>
      </text>
    </comment>
    <comment ref="G34" authorId="0">
      <text>
        <r>
          <rPr>
            <b/>
            <sz val="9"/>
            <color indexed="81"/>
            <rFont val="Tahoma"/>
            <family val="2"/>
          </rPr>
          <t>Brett Cowan:</t>
        </r>
        <r>
          <rPr>
            <sz val="9"/>
            <color indexed="81"/>
            <rFont val="Tahoma"/>
            <family val="2"/>
          </rPr>
          <t xml:space="preserve">
Unchanged</t>
        </r>
      </text>
    </comment>
    <comment ref="G35" authorId="0">
      <text>
        <r>
          <rPr>
            <b/>
            <sz val="9"/>
            <color indexed="81"/>
            <rFont val="Tahoma"/>
            <family val="2"/>
          </rPr>
          <t>Brett Cowan:</t>
        </r>
        <r>
          <rPr>
            <sz val="9"/>
            <color indexed="81"/>
            <rFont val="Tahoma"/>
            <family val="2"/>
          </rPr>
          <t xml:space="preserve">
Unchanged</t>
        </r>
      </text>
    </comment>
    <comment ref="G36" authorId="0">
      <text>
        <r>
          <rPr>
            <b/>
            <sz val="9"/>
            <color indexed="81"/>
            <rFont val="Tahoma"/>
            <family val="2"/>
          </rPr>
          <t>Brett Cowan:</t>
        </r>
        <r>
          <rPr>
            <sz val="9"/>
            <color indexed="81"/>
            <rFont val="Tahoma"/>
            <family val="2"/>
          </rPr>
          <t xml:space="preserve">
Unchanged</t>
        </r>
      </text>
    </comment>
    <comment ref="G37" authorId="0">
      <text>
        <r>
          <rPr>
            <b/>
            <sz val="9"/>
            <color indexed="81"/>
            <rFont val="Tahoma"/>
            <family val="2"/>
          </rPr>
          <t>Brett Cowan:</t>
        </r>
        <r>
          <rPr>
            <sz val="9"/>
            <color indexed="81"/>
            <rFont val="Tahoma"/>
            <family val="2"/>
          </rPr>
          <t xml:space="preserve">
Unchanged</t>
        </r>
      </text>
    </comment>
  </commentList>
</comments>
</file>

<file path=xl/comments5.xml><?xml version="1.0" encoding="utf-8"?>
<comments xmlns="http://schemas.openxmlformats.org/spreadsheetml/2006/main">
  <authors>
    <author>Brett</author>
    <author>Aministrator</author>
    <author>Kevin Sullivan</author>
  </authors>
  <commentList>
    <comment ref="U4" authorId="0">
      <text>
        <r>
          <rPr>
            <b/>
            <sz val="9"/>
            <color indexed="81"/>
            <rFont val="Tahoma"/>
            <family val="2"/>
          </rPr>
          <t>Brett Cowan:</t>
        </r>
        <r>
          <rPr>
            <sz val="9"/>
            <color indexed="81"/>
            <rFont val="Tahoma"/>
            <family val="2"/>
          </rPr>
          <t xml:space="preserve">
LFG currently used for electricity generation and total LFG collected obtained from various individuals (see specific cells for details) and from M. Aucott of NJDEP (flaring facilities). Figures given by Aucott were converted to mmscfy and multiplied by 2 (assuming methane comprises 50% of LFG by volume). For a landfill breakdown (flaring and energy production), see the LFG Estimates by Landfill sheet.</t>
        </r>
      </text>
    </comment>
    <comment ref="AC4" authorId="0">
      <text>
        <r>
          <rPr>
            <b/>
            <sz val="9"/>
            <color indexed="81"/>
            <rFont val="Tahoma"/>
            <family val="2"/>
          </rPr>
          <t>Brett Cowan:</t>
        </r>
        <r>
          <rPr>
            <sz val="9"/>
            <color indexed="81"/>
            <rFont val="Tahoma"/>
            <family val="2"/>
          </rPr>
          <t xml:space="preserve">
All values in the chart were converted from dry metric tons to dry tons. It is assumed that the incinerated biosolids, out-of-state disposal of biosolids, and in-state beneficial use landfill cover of biosolids are available for energy production or transportation fuels.</t>
        </r>
      </text>
    </comment>
    <comment ref="I5" authorId="0">
      <text>
        <r>
          <rPr>
            <b/>
            <sz val="9"/>
            <color indexed="81"/>
            <rFont val="Tahoma"/>
            <family val="2"/>
          </rPr>
          <t>Brett Cowan:</t>
        </r>
        <r>
          <rPr>
            <sz val="9"/>
            <color indexed="81"/>
            <rFont val="Tahoma"/>
            <family val="2"/>
          </rPr>
          <t xml:space="preserve">
Joseph Davis MPA stated that in 2010, approximately 2.4 million tons of MSW went out of state (OOS), which accounted for the discrepancies between the MSW to landfills and MSW to incineration with the disposed MSW in 2010 (Column F)(landfilled plus incineration did not add up to disposed). However, it is assumed that OOS MSW will be landfilled, hence column I mirroring this assumption.</t>
        </r>
      </text>
    </comment>
    <comment ref="M5" authorId="1">
      <text>
        <r>
          <rPr>
            <b/>
            <sz val="9"/>
            <color indexed="81"/>
            <rFont val="Tahoma"/>
            <family val="2"/>
          </rPr>
          <t>Aministrator:</t>
        </r>
        <r>
          <rPr>
            <sz val="9"/>
            <color indexed="81"/>
            <rFont val="Tahoma"/>
            <family val="2"/>
          </rPr>
          <t xml:space="preserve">
Total MSW is derived from the addition of Disposal MSW and Recyling MSW from 2010 Generation, Disposal, and Recycling Rates from the NJDEP
</t>
        </r>
      </text>
    </comment>
    <comment ref="W7" authorId="0">
      <text>
        <r>
          <rPr>
            <b/>
            <sz val="9"/>
            <color indexed="81"/>
            <rFont val="Tahoma"/>
            <family val="2"/>
          </rPr>
          <t xml:space="preserve">Brett Cowan:
</t>
        </r>
        <r>
          <rPr>
            <sz val="9"/>
            <color indexed="81"/>
            <rFont val="Tahoma"/>
            <family val="2"/>
          </rPr>
          <t>Statistic given by Gary Conover, Solid Waste Director of ACUA.</t>
        </r>
      </text>
    </comment>
    <comment ref="U8" authorId="0">
      <text>
        <r>
          <rPr>
            <b/>
            <sz val="9"/>
            <color indexed="81"/>
            <rFont val="Tahoma"/>
            <family val="2"/>
          </rPr>
          <t>Brett Cowan:</t>
        </r>
        <r>
          <rPr>
            <sz val="9"/>
            <color indexed="81"/>
            <rFont val="Tahoma"/>
            <family val="2"/>
          </rPr>
          <t xml:space="preserve">
Statistic given by Chris Dour, Solid Waste Operations Supervisor of NJMC.</t>
        </r>
      </text>
    </comment>
    <comment ref="W9" authorId="0">
      <text>
        <r>
          <rPr>
            <b/>
            <sz val="9"/>
            <color indexed="81"/>
            <rFont val="Tahoma"/>
            <family val="2"/>
          </rPr>
          <t>Brett Cowan:</t>
        </r>
        <r>
          <rPr>
            <sz val="9"/>
            <color indexed="81"/>
            <rFont val="Tahoma"/>
            <family val="2"/>
          </rPr>
          <t xml:space="preserve">
Statistic given by Robert Simkins, Solid Waste Coordinator of Burlington County.</t>
        </r>
      </text>
    </comment>
    <comment ref="X9" authorId="0">
      <text>
        <r>
          <rPr>
            <b/>
            <sz val="9"/>
            <color indexed="81"/>
            <rFont val="Tahoma"/>
            <family val="2"/>
          </rPr>
          <t>Brett Cowan:</t>
        </r>
        <r>
          <rPr>
            <sz val="9"/>
            <color indexed="81"/>
            <rFont val="Tahoma"/>
            <family val="2"/>
          </rPr>
          <t xml:space="preserve">
The LFG flow to the EcoComplex's Greenhouse (10.3 mmscfy) is for direct use, not power generation or transportation fuel production, and therefore deemed as available LFG.</t>
        </r>
      </text>
    </comment>
    <comment ref="W10" authorId="0">
      <text>
        <r>
          <rPr>
            <b/>
            <sz val="9"/>
            <color indexed="81"/>
            <rFont val="Tahoma"/>
            <family val="2"/>
          </rPr>
          <t>Brett Cowan:</t>
        </r>
        <r>
          <rPr>
            <sz val="9"/>
            <color indexed="81"/>
            <rFont val="Tahoma"/>
            <family val="2"/>
          </rPr>
          <t xml:space="preserve">
Statistic of 24.750244 mmscf for September given by John Londres, Deputy Director of the PCFA of Camden County. Assumed to be the average for each month of 2012, so multiplied by 12 to get approximately 297.003 mmscfy.</t>
        </r>
      </text>
    </comment>
    <comment ref="W11" authorId="0">
      <text>
        <r>
          <rPr>
            <b/>
            <sz val="9"/>
            <color indexed="81"/>
            <rFont val="Tahoma"/>
            <family val="2"/>
          </rPr>
          <t>Brett Cowan:</t>
        </r>
        <r>
          <rPr>
            <sz val="9"/>
            <color indexed="81"/>
            <rFont val="Tahoma"/>
            <family val="2"/>
          </rPr>
          <t xml:space="preserve">
Statistic given by John Baron, Deputy Director of Cape May County MUA.</t>
        </r>
      </text>
    </comment>
    <comment ref="W12" authorId="0">
      <text>
        <r>
          <rPr>
            <b/>
            <sz val="9"/>
            <color indexed="81"/>
            <rFont val="Tahoma"/>
            <family val="2"/>
          </rPr>
          <t>Brett:</t>
        </r>
        <r>
          <rPr>
            <sz val="9"/>
            <color indexed="81"/>
            <rFont val="Tahoma"/>
            <family val="2"/>
          </rPr>
          <t xml:space="preserve">
Statistic given by Enos Martin, Asset Manager at PPL Renewable Energy LLC.</t>
        </r>
      </text>
    </comment>
    <comment ref="U13" authorId="0">
      <text>
        <r>
          <rPr>
            <b/>
            <sz val="9"/>
            <color indexed="81"/>
            <rFont val="Tahoma"/>
            <family val="2"/>
          </rPr>
          <t>Brett Cowan:</t>
        </r>
        <r>
          <rPr>
            <sz val="9"/>
            <color indexed="81"/>
            <rFont val="Tahoma"/>
            <family val="2"/>
          </rPr>
          <t xml:space="preserve">
Statistic given by Thomas Marturano, Director of Solid Waste and Natural Resources at the New Jersey Meadowlands Commission.</t>
        </r>
      </text>
    </comment>
    <comment ref="W14" authorId="0">
      <text>
        <r>
          <rPr>
            <b/>
            <sz val="9"/>
            <color indexed="81"/>
            <rFont val="Tahoma"/>
            <family val="2"/>
          </rPr>
          <t>Brett:</t>
        </r>
        <r>
          <rPr>
            <sz val="9"/>
            <color indexed="81"/>
            <rFont val="Tahoma"/>
            <family val="2"/>
          </rPr>
          <t xml:space="preserve">
Statistic given by Eric Peterson, Vice President of SCS Engineers (was told that Gloucester is not producing any electricity from LFG).</t>
        </r>
      </text>
    </comment>
    <comment ref="U15" authorId="0">
      <text>
        <r>
          <rPr>
            <b/>
            <sz val="9"/>
            <color indexed="81"/>
            <rFont val="Tahoma"/>
            <family val="2"/>
          </rPr>
          <t>Brett Cowan:</t>
        </r>
        <r>
          <rPr>
            <sz val="9"/>
            <color indexed="81"/>
            <rFont val="Tahoma"/>
            <family val="2"/>
          </rPr>
          <t xml:space="preserve">
Statistic given by Thomas Marturano, Director of Solid Waste and Natural Resources at the New Jersey Meadowlands Commission.</t>
        </r>
      </text>
    </comment>
    <comment ref="W18" authorId="0">
      <text>
        <r>
          <rPr>
            <b/>
            <sz val="9"/>
            <color indexed="81"/>
            <rFont val="Tahoma"/>
            <family val="2"/>
          </rPr>
          <t>Brett Cowan:</t>
        </r>
        <r>
          <rPr>
            <sz val="9"/>
            <color indexed="81"/>
            <rFont val="Tahoma"/>
            <family val="2"/>
          </rPr>
          <t xml:space="preserve">
Statistics for the Middlesex County LF (1674.5 mmscfy used, 248.9 mmscfy flared) and the ILR (800-1000 scfm from 1/1/12 to about 10/29/12, assumed to be 900 scfm) given by Robert Leslie of the MCUA Solid Waste Division.
Statistic for the Edgeboro Landfill (3000 scfm used, 0 scfm flared) given by Jack Whitman, Jr., Vice President of Egdeboro International, Inc.</t>
        </r>
      </text>
    </comment>
    <comment ref="W21" authorId="0">
      <text>
        <r>
          <rPr>
            <b/>
            <sz val="9"/>
            <color indexed="81"/>
            <rFont val="Tahoma"/>
            <family val="2"/>
          </rPr>
          <t>Brett Cowan:</t>
        </r>
        <r>
          <rPr>
            <sz val="9"/>
            <color indexed="81"/>
            <rFont val="Tahoma"/>
            <family val="2"/>
          </rPr>
          <t xml:space="preserve">
Statistic (as well as what is flared/available) given by Martin Ryan, Engineering VP of the Ocean County Landfill Corporation.</t>
        </r>
      </text>
    </comment>
    <comment ref="W23" authorId="0">
      <text>
        <r>
          <rPr>
            <b/>
            <sz val="9"/>
            <color indexed="81"/>
            <rFont val="Tahoma"/>
            <family val="2"/>
          </rPr>
          <t>Brett Cowan:</t>
        </r>
        <r>
          <rPr>
            <sz val="9"/>
            <color indexed="81"/>
            <rFont val="Tahoma"/>
            <family val="2"/>
          </rPr>
          <t xml:space="preserve">
Statistic (as well as what is flared/available) given by Lynn Schmidt, Site Manager of the Salem County Landfill.</t>
        </r>
      </text>
    </comment>
    <comment ref="X23" authorId="0">
      <text>
        <r>
          <rPr>
            <b/>
            <sz val="9"/>
            <color indexed="81"/>
            <rFont val="Tahoma"/>
            <family val="2"/>
          </rPr>
          <t>Brett Cowan:</t>
        </r>
        <r>
          <rPr>
            <sz val="9"/>
            <color indexed="81"/>
            <rFont val="Tahoma"/>
            <family val="2"/>
          </rPr>
          <t xml:space="preserve">
The LFG flow to the Salem Community College (1.666 mmscfy) is for direct use, not power generation or transportation fuel production, and therefore deemed as available LFG.</t>
        </r>
      </text>
    </comment>
    <comment ref="W25" authorId="0">
      <text>
        <r>
          <rPr>
            <b/>
            <sz val="9"/>
            <color indexed="81"/>
            <rFont val="Tahoma"/>
            <family val="2"/>
          </rPr>
          <t>Brett Cowan:</t>
        </r>
        <r>
          <rPr>
            <sz val="9"/>
            <color indexed="81"/>
            <rFont val="Tahoma"/>
            <family val="2"/>
          </rPr>
          <t xml:space="preserve">
Statistic given on a monthly basis for 2012 by Thomas Varro, Chief Engineer of SCMUA.</t>
        </r>
      </text>
    </comment>
    <comment ref="W27" authorId="0">
      <text>
        <r>
          <rPr>
            <b/>
            <sz val="9"/>
            <color indexed="81"/>
            <rFont val="Tahoma"/>
            <family val="2"/>
          </rPr>
          <t>Brett Cowan:</t>
        </r>
        <r>
          <rPr>
            <sz val="9"/>
            <color indexed="81"/>
            <rFont val="Tahoma"/>
            <family val="2"/>
          </rPr>
          <t xml:space="preserve">
Statistic (as well as what is flared/available) given by James Williams, Director of Operations at the Warren County District Landfill.</t>
        </r>
      </text>
    </comment>
    <comment ref="B38" authorId="0">
      <text>
        <r>
          <rPr>
            <b/>
            <sz val="9"/>
            <color indexed="81"/>
            <rFont val="Tahoma"/>
            <family val="2"/>
          </rPr>
          <t>Brett Cowan:</t>
        </r>
        <r>
          <rPr>
            <sz val="9"/>
            <color indexed="81"/>
            <rFont val="Tahoma"/>
            <family val="2"/>
          </rPr>
          <t xml:space="preserve">
USDA Crop Production Summary. Accessed August 2011. http://usda01.library.cornell.edu/usda/current/CropProdSu/CropProdSu-01-12-2012.pdf
</t>
        </r>
        <r>
          <rPr>
            <b/>
            <sz val="9"/>
            <color indexed="81"/>
            <rFont val="Tahoma"/>
            <family val="2"/>
          </rPr>
          <t>Note</t>
        </r>
        <r>
          <rPr>
            <sz val="9"/>
            <color indexed="81"/>
            <rFont val="Tahoma"/>
            <family val="2"/>
          </rPr>
          <t>: Calculated average for Sorghum and Rye over 2009-2011 period due to lack of information pertaining to New Jersey</t>
        </r>
        <r>
          <rPr>
            <sz val="9"/>
            <color indexed="81"/>
            <rFont val="Tahoma"/>
            <family val="2"/>
          </rPr>
          <t>.</t>
        </r>
      </text>
    </comment>
    <comment ref="H43" authorId="0">
      <text>
        <r>
          <rPr>
            <b/>
            <sz val="9"/>
            <color indexed="81"/>
            <rFont val="Tahoma"/>
            <family val="2"/>
          </rPr>
          <t>Brett Cowan:</t>
        </r>
        <r>
          <rPr>
            <sz val="9"/>
            <color indexed="81"/>
            <rFont val="Tahoma"/>
            <family val="2"/>
          </rPr>
          <t xml:space="preserve">
Determined by subtracting the Food Waste and Paper Waste percentages for NJ from the national average Total Biomass percentage of MSW.</t>
        </r>
      </text>
    </comment>
    <comment ref="H44" authorId="0">
      <text>
        <r>
          <rPr>
            <b/>
            <sz val="9"/>
            <color indexed="81"/>
            <rFont val="Tahoma"/>
            <family val="2"/>
          </rPr>
          <t>Brett Cowan:</t>
        </r>
        <r>
          <rPr>
            <sz val="9"/>
            <color indexed="81"/>
            <rFont val="Tahoma"/>
            <family val="2"/>
          </rPr>
          <t xml:space="preserve">
This percentage is the addition of all organic portions of MSW, which are paper and paperboard (28.5%), yard trimmings(13.4%), food scraps (13.9%), and wood (6.4%).</t>
        </r>
      </text>
    </comment>
    <comment ref="B48" authorId="2">
      <text>
        <r>
          <rPr>
            <b/>
            <sz val="10"/>
            <color indexed="81"/>
            <rFont val="Tahoma"/>
            <family val="2"/>
          </rPr>
          <t xml:space="preserve">Kevin Sullivan (NJAES) :
</t>
        </r>
        <r>
          <rPr>
            <sz val="10"/>
            <color indexed="81"/>
            <rFont val="Tahoma"/>
            <family val="2"/>
          </rPr>
          <t xml:space="preserve">Residue estimates assume that ample biomass will be left on the field (to cover 32% of surface area) for soil conservation and nutrient replenishment.   USDA, Agricultural Handbook Number 537.  
Sweet Corn: Yield estimates assume corn stalks will mostly dry on the field before harvest per  Zane Helsel (NJAES). 
Corn for Silage, Alfalfa Hay and Other Hay: NJ NASS Agricultural Statistics 2005 Annual Report for years 2000 - 2004.   Yield used is 5-year average.  </t>
        </r>
      </text>
    </comment>
    <comment ref="B81" authorId="0">
      <text>
        <r>
          <rPr>
            <b/>
            <sz val="9"/>
            <color indexed="81"/>
            <rFont val="Tahoma"/>
            <family val="2"/>
          </rPr>
          <t>Brett Cowan:</t>
        </r>
        <r>
          <rPr>
            <sz val="9"/>
            <color indexed="81"/>
            <rFont val="Tahoma"/>
            <family val="2"/>
          </rPr>
          <t xml:space="preserve">
Compares the generation of each resource and NJ population on a yearly basis, resulting in a tons/person/yr statistic. It was then averaged over the ten year period and the final value is shown. The following estimates for future years utilize the growth rate compounded annually.</t>
        </r>
      </text>
    </comment>
    <comment ref="B84" authorId="0">
      <text>
        <r>
          <rPr>
            <b/>
            <sz val="9"/>
            <color indexed="81"/>
            <rFont val="Tahoma"/>
            <family val="2"/>
          </rPr>
          <t>Brett Cowan:</t>
        </r>
        <r>
          <rPr>
            <sz val="9"/>
            <color indexed="81"/>
            <rFont val="Tahoma"/>
            <family val="2"/>
          </rPr>
          <t xml:space="preserve">
This growth rate is the average from the years 1995-2010.</t>
        </r>
      </text>
    </comment>
  </commentList>
</comments>
</file>

<file path=xl/comments6.xml><?xml version="1.0" encoding="utf-8"?>
<comments xmlns="http://schemas.openxmlformats.org/spreadsheetml/2006/main">
  <authors>
    <author>Brett</author>
  </authors>
  <commentList>
    <comment ref="G5" authorId="0">
      <text>
        <r>
          <rPr>
            <b/>
            <sz val="9"/>
            <color indexed="81"/>
            <rFont val="Tahoma"/>
            <family val="2"/>
          </rPr>
          <t>Brett Cowan:</t>
        </r>
        <r>
          <rPr>
            <sz val="9"/>
            <color indexed="81"/>
            <rFont val="Tahoma"/>
            <family val="2"/>
          </rPr>
          <t xml:space="preserve">
This is the amount of CO</t>
        </r>
        <r>
          <rPr>
            <vertAlign val="subscript"/>
            <sz val="9"/>
            <color indexed="81"/>
            <rFont val="Tahoma"/>
            <family val="2"/>
          </rPr>
          <t>2</t>
        </r>
        <r>
          <rPr>
            <sz val="9"/>
            <color indexed="81"/>
            <rFont val="Tahoma"/>
            <family val="2"/>
          </rPr>
          <t xml:space="preserve"> being produced by non-LFG sources with equivalent electricity generation potential, based on PJM's Average CO</t>
        </r>
        <r>
          <rPr>
            <vertAlign val="subscript"/>
            <sz val="9"/>
            <color indexed="81"/>
            <rFont val="Tahoma"/>
            <family val="2"/>
          </rPr>
          <t>2</t>
        </r>
        <r>
          <rPr>
            <sz val="9"/>
            <color indexed="81"/>
            <rFont val="Tahoma"/>
            <family val="2"/>
          </rPr>
          <t xml:space="preserve"> Emissions Rates for the year 2009.</t>
        </r>
      </text>
    </comment>
    <comment ref="L5" authorId="0">
      <text>
        <r>
          <rPr>
            <b/>
            <sz val="9"/>
            <color indexed="81"/>
            <rFont val="Tahoma"/>
            <family val="2"/>
          </rPr>
          <t>Brett Cowan:</t>
        </r>
        <r>
          <rPr>
            <sz val="9"/>
            <color indexed="81"/>
            <rFont val="Tahoma"/>
            <family val="2"/>
          </rPr>
          <t xml:space="preserve">
This is the amount of CO</t>
        </r>
        <r>
          <rPr>
            <vertAlign val="subscript"/>
            <sz val="9"/>
            <color indexed="81"/>
            <rFont val="Tahoma"/>
            <family val="2"/>
          </rPr>
          <t>2</t>
        </r>
        <r>
          <rPr>
            <sz val="9"/>
            <color indexed="81"/>
            <rFont val="Tahoma"/>
            <family val="2"/>
          </rPr>
          <t xml:space="preserve"> being produced by non-LFG sources with equivalent electricity generation, based on PJM's Average CO</t>
        </r>
        <r>
          <rPr>
            <vertAlign val="subscript"/>
            <sz val="9"/>
            <color indexed="81"/>
            <rFont val="Tahoma"/>
            <family val="2"/>
          </rPr>
          <t>2</t>
        </r>
        <r>
          <rPr>
            <sz val="9"/>
            <color indexed="81"/>
            <rFont val="Tahoma"/>
            <family val="2"/>
          </rPr>
          <t xml:space="preserve"> Emissions Rates for the year 2009.</t>
        </r>
      </text>
    </comment>
    <comment ref="Q5" authorId="0">
      <text>
        <r>
          <rPr>
            <b/>
            <sz val="9"/>
            <color indexed="81"/>
            <rFont val="Tahoma"/>
            <family val="2"/>
          </rPr>
          <t>Brett Cowan:</t>
        </r>
        <r>
          <rPr>
            <sz val="9"/>
            <color indexed="81"/>
            <rFont val="Tahoma"/>
            <family val="2"/>
          </rPr>
          <t xml:space="preserve">
This is the amount of CO</t>
        </r>
        <r>
          <rPr>
            <vertAlign val="subscript"/>
            <sz val="9"/>
            <color indexed="81"/>
            <rFont val="Tahoma"/>
            <family val="2"/>
          </rPr>
          <t>2</t>
        </r>
        <r>
          <rPr>
            <sz val="9"/>
            <color indexed="81"/>
            <rFont val="Tahoma"/>
            <family val="2"/>
          </rPr>
          <t xml:space="preserve"> being produced by non-LFG sources with equivalent electricity generation potential, based on PJM's Average CO</t>
        </r>
        <r>
          <rPr>
            <vertAlign val="subscript"/>
            <sz val="9"/>
            <color indexed="81"/>
            <rFont val="Tahoma"/>
            <family val="2"/>
          </rPr>
          <t>2</t>
        </r>
        <r>
          <rPr>
            <sz val="9"/>
            <color indexed="81"/>
            <rFont val="Tahoma"/>
            <family val="2"/>
          </rPr>
          <t xml:space="preserve"> Emissions Rates for the year 2009.</t>
        </r>
      </text>
    </comment>
    <comment ref="R5" authorId="0">
      <text>
        <r>
          <rPr>
            <b/>
            <sz val="9"/>
            <color indexed="81"/>
            <rFont val="Tahoma"/>
            <family val="2"/>
          </rPr>
          <t>Brett Cowan:</t>
        </r>
        <r>
          <rPr>
            <sz val="9"/>
            <color indexed="81"/>
            <rFont val="Tahoma"/>
            <family val="2"/>
          </rPr>
          <t xml:space="preserve">
This is the amount of CO</t>
        </r>
        <r>
          <rPr>
            <vertAlign val="subscript"/>
            <sz val="9"/>
            <color indexed="81"/>
            <rFont val="Tahoma"/>
            <family val="2"/>
          </rPr>
          <t>2</t>
        </r>
        <r>
          <rPr>
            <sz val="9"/>
            <color indexed="81"/>
            <rFont val="Tahoma"/>
            <family val="2"/>
          </rPr>
          <t xml:space="preserve"> being produced by non-LFG sources with equivalent electricity generation potential, based on PJM's Average CO</t>
        </r>
        <r>
          <rPr>
            <vertAlign val="subscript"/>
            <sz val="9"/>
            <color indexed="81"/>
            <rFont val="Tahoma"/>
            <family val="2"/>
          </rPr>
          <t>2</t>
        </r>
        <r>
          <rPr>
            <sz val="9"/>
            <color indexed="81"/>
            <rFont val="Tahoma"/>
            <family val="2"/>
          </rPr>
          <t xml:space="preserve"> Emissions Rates for the year 2009.</t>
        </r>
      </text>
    </comment>
    <comment ref="I6" authorId="0">
      <text>
        <r>
          <rPr>
            <b/>
            <sz val="9"/>
            <color indexed="81"/>
            <rFont val="Tahoma"/>
            <family val="2"/>
          </rPr>
          <t>Brett Cowan:</t>
        </r>
        <r>
          <rPr>
            <sz val="9"/>
            <color indexed="81"/>
            <rFont val="Tahoma"/>
            <family val="2"/>
          </rPr>
          <t xml:space="preserve">
Statistic given by Gary Conover, Solid Waste Director of ACUA.</t>
        </r>
      </text>
    </comment>
    <comment ref="I8" authorId="0">
      <text>
        <r>
          <rPr>
            <b/>
            <sz val="9"/>
            <color indexed="81"/>
            <rFont val="Tahoma"/>
            <family val="2"/>
          </rPr>
          <t>Brett Cowan:</t>
        </r>
        <r>
          <rPr>
            <sz val="9"/>
            <color indexed="81"/>
            <rFont val="Tahoma"/>
            <family val="2"/>
          </rPr>
          <t xml:space="preserve">
Statistic given by Bob Simkins, Solid Waste Coordinator of Burlington County.</t>
        </r>
      </text>
    </comment>
    <comment ref="I9" authorId="0">
      <text>
        <r>
          <rPr>
            <b/>
            <sz val="9"/>
            <color indexed="81"/>
            <rFont val="Tahoma"/>
            <family val="2"/>
          </rPr>
          <t>Brett Cowan:</t>
        </r>
        <r>
          <rPr>
            <sz val="9"/>
            <color indexed="81"/>
            <rFont val="Tahoma"/>
            <family val="2"/>
          </rPr>
          <t xml:space="preserve">
Statistic (rate of 0.043 kWh/scf) given by John Londres, Deputy Director of PCFA of Camden County.</t>
        </r>
      </text>
    </comment>
    <comment ref="I10" authorId="0">
      <text>
        <r>
          <rPr>
            <b/>
            <sz val="9"/>
            <color indexed="81"/>
            <rFont val="Tahoma"/>
            <family val="2"/>
          </rPr>
          <t>Brett Cowan:</t>
        </r>
        <r>
          <rPr>
            <sz val="9"/>
            <color indexed="81"/>
            <rFont val="Tahoma"/>
            <family val="2"/>
          </rPr>
          <t xml:space="preserve">
Statistic given by John Baron, Deputy Director of Cape May County MUA.</t>
        </r>
      </text>
    </comment>
    <comment ref="I11" authorId="0">
      <text>
        <r>
          <rPr>
            <b/>
            <sz val="9"/>
            <color indexed="81"/>
            <rFont val="Tahoma"/>
            <family val="2"/>
          </rPr>
          <t>Brett Cowan:</t>
        </r>
        <r>
          <rPr>
            <sz val="9"/>
            <color indexed="81"/>
            <rFont val="Tahoma"/>
            <family val="2"/>
          </rPr>
          <t xml:space="preserve">
Statistic given by Enos Martin, Asset Manager at PPL Renewable Energy LLC and Eric Peterson, Vice President of SCS Engineers.</t>
        </r>
      </text>
    </comment>
    <comment ref="I17" authorId="0">
      <text>
        <r>
          <rPr>
            <b/>
            <sz val="9"/>
            <color indexed="81"/>
            <rFont val="Tahoma"/>
            <family val="2"/>
          </rPr>
          <t>Brett Cowan:</t>
        </r>
        <r>
          <rPr>
            <sz val="9"/>
            <color indexed="81"/>
            <rFont val="Tahoma"/>
            <family val="2"/>
          </rPr>
          <t xml:space="preserve">
Statistics (additive) given by Jack Whitman, Jr., Vice President of Edgeboro International, Inc. (9.2 MW capacity for WWT plant) and Robert Leslie of the MCUA Solid Waste Division (101,315.9 MWh/yr in 2012 for the power plant).</t>
        </r>
      </text>
    </comment>
    <comment ref="I24" authorId="0">
      <text>
        <r>
          <rPr>
            <b/>
            <sz val="9"/>
            <color indexed="81"/>
            <rFont val="Tahoma"/>
            <family val="2"/>
          </rPr>
          <t>Brett Cowan:</t>
        </r>
        <r>
          <rPr>
            <sz val="9"/>
            <color indexed="81"/>
            <rFont val="Tahoma"/>
            <family val="2"/>
          </rPr>
          <t xml:space="preserve">
Statistic given on a monthly basis for 2012 by Thomas Varro, Chief Engineer of SCMUA.</t>
        </r>
      </text>
    </comment>
  </commentList>
</comments>
</file>

<file path=xl/comments7.xml><?xml version="1.0" encoding="utf-8"?>
<comments xmlns="http://schemas.openxmlformats.org/spreadsheetml/2006/main">
  <authors>
    <author>Brett</author>
  </authors>
  <commentList>
    <comment ref="F4" authorId="0">
      <text>
        <r>
          <rPr>
            <b/>
            <sz val="9"/>
            <color indexed="81"/>
            <rFont val="Tahoma"/>
            <family val="2"/>
          </rPr>
          <t>Brett Cowan:</t>
        </r>
        <r>
          <rPr>
            <sz val="9"/>
            <color indexed="81"/>
            <rFont val="Tahoma"/>
            <family val="2"/>
          </rPr>
          <t xml:space="preserve">
This is the amount of CO2 being produced by non-LFG sources with equivalent electricity generation potential, based on PJM's Average CO2 Emissions Rates for the year 2009.</t>
        </r>
      </text>
    </comment>
  </commentList>
</comments>
</file>

<file path=xl/sharedStrings.xml><?xml version="1.0" encoding="utf-8"?>
<sst xmlns="http://schemas.openxmlformats.org/spreadsheetml/2006/main" count="8130" uniqueCount="1572">
  <si>
    <r>
      <t>3) Net Usable Assumptions</t>
    </r>
    <r>
      <rPr>
        <b/>
        <sz val="12"/>
        <rFont val="Times New Roman"/>
        <family val="1"/>
      </rPr>
      <t xml:space="preserve"> - </t>
    </r>
    <r>
      <rPr>
        <sz val="12"/>
        <rFont val="Times New Roman"/>
        <family val="1"/>
      </rPr>
      <t>This worksheet contains the net usable percentages of biomass feedstocks. At the bottom of the sheet, there is a list of agricultural crops. To estimate the energy potential that could be generated if the acreage devoted to these crops was converted to a bioenergy crop (poplar or switchgrass) simply use the drop down screen to the right of the crop name and change the cell from No to Yes. To calculate the energy generation potential if only a portion of the acreage was switched to a bioenergy crop, go back to the top of the sheet and make the change in the yellow highlighted area to reflect the percent of acreage that would be devoted to bioenergy crops. These changes will automatically cause the energy generation potential to be recalculated. Additional changes to this worksheet can be made in the yellow highlighted sections to increase or decrease the percentage of usable biomass for each feedstock. Again, changes on this sheet will automatically be carried through to the Bioenergy Calculator worksheet and the bioenergy potential will be recalculated to reflect the changes. Sources of information for all data contained on this worksheet can be found in Column F.</t>
    </r>
  </si>
  <si>
    <r>
      <t>8) Electricity and Fuel Generation from LFG</t>
    </r>
    <r>
      <rPr>
        <sz val="12"/>
        <rFont val="Times New Roman"/>
        <family val="1"/>
      </rPr>
      <t xml:space="preserve"> – This worksheet contains summary information for all New Jersey counties on the current quantity of electricity and fuel generated from landfill gas. It also includes projections for 2010, 2015, and 2020. Projections are based on estimated increases in population from the Department of Labor, but do not take into account any reductions in waste deposited at the landfills as a result of increased diversion for other purposes. This is a static worksheet and is for informational purposes only. It is not linked to the main Bioenergy Calculator worksheet, thus changes made here will not carry through the program. </t>
    </r>
  </si>
  <si>
    <r>
      <t>Welcome to the New Jersey Bioenergy Calculator</t>
    </r>
    <r>
      <rPr>
        <vertAlign val="superscript"/>
        <sz val="10"/>
        <rFont val="Times New Roman"/>
        <family val="1"/>
      </rPr>
      <t>©</t>
    </r>
    <r>
      <rPr>
        <b/>
        <sz val="14"/>
        <rFont val="Times New Roman"/>
        <family val="1"/>
      </rPr>
      <t xml:space="preserve"> and Biomass Resource Database</t>
    </r>
  </si>
  <si>
    <r>
      <t>—</t>
    </r>
    <r>
      <rPr>
        <sz val="7"/>
        <rFont val="Times New Roman"/>
        <family val="1"/>
      </rPr>
      <t xml:space="preserve">    </t>
    </r>
    <r>
      <rPr>
        <sz val="12"/>
        <rFont val="Times New Roman"/>
        <family val="1"/>
      </rPr>
      <t xml:space="preserve">There are numerous </t>
    </r>
    <r>
      <rPr>
        <i/>
        <sz val="12"/>
        <rFont val="Times New Roman"/>
        <family val="1"/>
      </rPr>
      <t>technically feasible</t>
    </r>
    <r>
      <rPr>
        <sz val="12"/>
        <rFont val="Times New Roman"/>
        <family val="1"/>
      </rPr>
      <t xml:space="preserve"> bioenergy conversion technologies.  However, certain technologies that are not well developed yet and/or are likely to be applicable mainly to niche applications were generally excluded from detailed analysis.</t>
    </r>
  </si>
  <si>
    <t>Developed by the New Jersey Agricultural Experiment Station - Rutgers the State University of New Jersey</t>
  </si>
  <si>
    <r>
      <t>—</t>
    </r>
    <r>
      <rPr>
        <sz val="7"/>
        <rFont val="Times New Roman"/>
        <family val="1"/>
      </rPr>
      <t xml:space="preserve">    </t>
    </r>
    <r>
      <rPr>
        <sz val="12"/>
        <rFont val="Times New Roman"/>
        <family val="1"/>
      </rPr>
      <t xml:space="preserve">Although there are many biomass feedstocks that </t>
    </r>
    <r>
      <rPr>
        <i/>
        <sz val="12"/>
        <rFont val="Times New Roman"/>
        <family val="1"/>
      </rPr>
      <t>could</t>
    </r>
    <r>
      <rPr>
        <sz val="12"/>
        <rFont val="Times New Roman"/>
        <family val="1"/>
      </rPr>
      <t xml:space="preserve"> be used with a particular conversion technology, in practice, certain feedstocks are better suited to certain conversion processes.  </t>
    </r>
  </si>
  <si>
    <r>
      <t>—</t>
    </r>
    <r>
      <rPr>
        <sz val="7"/>
        <rFont val="Times New Roman"/>
        <family val="1"/>
      </rPr>
      <t xml:space="preserve">    </t>
    </r>
    <r>
      <rPr>
        <sz val="12"/>
        <rFont val="Times New Roman"/>
        <family val="1"/>
      </rPr>
      <t>Given the wide range of technologies within a particular “platform” (e.g., types of biomass gasification reactors), the analysis focuses on broad technology platforms with similar characteristics.  Representative feedstock-conversion-end use pathways were selected for the economic analysis.</t>
    </r>
  </si>
  <si>
    <r>
      <t>—</t>
    </r>
    <r>
      <rPr>
        <sz val="7"/>
        <rFont val="Times New Roman"/>
        <family val="1"/>
      </rPr>
      <t xml:space="preserve">    </t>
    </r>
    <r>
      <rPr>
        <sz val="12"/>
        <rFont val="Times New Roman"/>
        <family val="1"/>
      </rPr>
      <t xml:space="preserve">The decision to screen out specific technologies </t>
    </r>
    <r>
      <rPr>
        <i/>
        <sz val="12"/>
        <rFont val="Times New Roman"/>
        <family val="1"/>
      </rPr>
      <t>for the current analysis</t>
    </r>
    <r>
      <rPr>
        <b/>
        <sz val="12"/>
        <rFont val="Times New Roman"/>
        <family val="1"/>
      </rPr>
      <t xml:space="preserve"> </t>
    </r>
    <r>
      <rPr>
        <sz val="12"/>
        <rFont val="Times New Roman"/>
        <family val="1"/>
      </rPr>
      <t>does not mean that it will not find some application in New Jersey in the future.</t>
    </r>
  </si>
  <si>
    <r>
      <t>Using the Bioenergy Calculator</t>
    </r>
    <r>
      <rPr>
        <b/>
        <u/>
        <vertAlign val="superscript"/>
        <sz val="11"/>
        <rFont val="Times New Roman"/>
        <family val="1"/>
      </rPr>
      <t>©</t>
    </r>
    <r>
      <rPr>
        <b/>
        <u/>
        <sz val="12"/>
        <rFont val="Times New Roman"/>
        <family val="1"/>
      </rPr>
      <t xml:space="preserve"> and Biomass Resource Database</t>
    </r>
  </si>
  <si>
    <t>This database consists of 32 worksheets. The contents and use of each sheet are described below.</t>
  </si>
  <si>
    <r>
      <t>4) Energy Content Assumptions</t>
    </r>
    <r>
      <rPr>
        <sz val="12"/>
        <rFont val="Times New Roman"/>
        <family val="1"/>
      </rPr>
      <t xml:space="preserve"> - This worksheet contains information on energy content and percent dry matter for each feedstock. Changes can be made in the yellow highlighted sections to increase or decrease these figures. Changes on this sheet will automatically be carried through to the Bioenergy Calculator worksheet and the bioenergy potential will be recalculated to reflect the changes. Sources of information for all data contained on this worksheet can be found in Column E.</t>
    </r>
  </si>
  <si>
    <r>
      <t>6) Conversion Tables</t>
    </r>
    <r>
      <rPr>
        <sz val="12"/>
        <rFont val="Times New Roman"/>
        <family val="1"/>
      </rPr>
      <t xml:space="preserve"> – This worksheet lists the assumed yield of electricity or fuel per given unit of feedstock.  Depending on the conversion technology selected, there may be no value given for certain feedstocks in the technology columns that are inappropriate for those feedstocks.  </t>
    </r>
  </si>
  <si>
    <r>
      <t>7)  Updated Landfill Gas Estimates</t>
    </r>
    <r>
      <rPr>
        <sz val="12"/>
        <rFont val="Times New Roman"/>
        <family val="1"/>
      </rPr>
      <t xml:space="preserve"> – This worksheet contains the most current and comprehensive data for landfill gas (LFG) generated in the state. It contains detailed information on the amount of LFG generated, amount of LFG flared, and the amount of electricity produced from LFG for each of the landfills in New Jersey which currently utilizes the gas directly, converts it to electricity or has a flaring system in place. Sources of information for all data contained on this worksheet can be found in Column P and in the Notes section below the table.</t>
    </r>
  </si>
  <si>
    <r>
      <t>9) Biomass Data Assumptions</t>
    </r>
    <r>
      <rPr>
        <sz val="12"/>
        <rFont val="Times New Roman"/>
        <family val="1"/>
      </rPr>
      <t xml:space="preserve"> – This worksheet contains all biomass data assumptions used in the database. Changes on this sheet can be made in the yellow highlighted sections to increase or decrease these figures. Changes will automatically be carried through to the Bioenergy Calculator worksheet and the bioenergy potential will be recalculated to reflect the changes.   </t>
    </r>
  </si>
  <si>
    <t>[2] Biomass is a broad definition for biologically-derived renewable materials that can be used to produce heat, electric power, transportation fuels, and other products and chemicals.</t>
  </si>
  <si>
    <t>Ryan Katofsky</t>
  </si>
  <si>
    <t>Navigant Consulting</t>
  </si>
  <si>
    <t>rkatofsky@navigantconsulting.com</t>
  </si>
  <si>
    <t>Fuel Yield Projections Provided by Navigant Consulting</t>
  </si>
  <si>
    <t>Sources for assumptions from Steve Paul are listed below:</t>
  </si>
  <si>
    <t>Food Waste from Atlantic City Area</t>
  </si>
  <si>
    <t>Amount Currently Used</t>
  </si>
  <si>
    <t>(DATA FOR DAH PROVIDED BY STEVE PAUL)</t>
  </si>
  <si>
    <t>Data Calculations- Data in YELLOW can be modified</t>
  </si>
  <si>
    <t xml:space="preserve">Rhea Brekke </t>
  </si>
  <si>
    <r>
      <t>NJ CAT -</t>
    </r>
    <r>
      <rPr>
        <sz val="10"/>
        <rFont val="Times New Roman"/>
        <family val="1"/>
      </rPr>
      <t xml:space="preserve"> New Jersey Corporation for Advanced Technology</t>
    </r>
  </si>
  <si>
    <t>rwbrekke@njcat.org</t>
  </si>
  <si>
    <t>NJ CAT - Director</t>
  </si>
  <si>
    <t xml:space="preserve">     Mapping Team</t>
  </si>
  <si>
    <t>Caroline Phillipuk</t>
  </si>
  <si>
    <t xml:space="preserve">NJAES - GIS Specialist, CRSSA </t>
  </si>
  <si>
    <t>puk@crssa.rutgers.edu</t>
  </si>
  <si>
    <t>Policy Team Leader</t>
  </si>
  <si>
    <t xml:space="preserve">     Policy Team</t>
  </si>
  <si>
    <r>
      <t>NJAES</t>
    </r>
    <r>
      <rPr>
        <sz val="10"/>
        <rFont val="Times New Roman"/>
        <family val="1"/>
      </rPr>
      <t xml:space="preserve"> - New Jersey Agricultural Experiment Station</t>
    </r>
  </si>
  <si>
    <r>
      <t>CRSSA</t>
    </r>
    <r>
      <rPr>
        <sz val="10"/>
        <rFont val="Times New Roman"/>
        <family val="1"/>
      </rPr>
      <t xml:space="preserve"> - Center for Remote Sensing and Spatial Analysis - Cook</t>
    </r>
  </si>
  <si>
    <r>
      <t>FPI</t>
    </r>
    <r>
      <rPr>
        <sz val="10"/>
        <rFont val="Times New Roman"/>
        <family val="1"/>
      </rPr>
      <t xml:space="preserve"> - Food Policy Institute</t>
    </r>
  </si>
  <si>
    <r>
      <t>SWRRG</t>
    </r>
    <r>
      <rPr>
        <sz val="10"/>
        <rFont val="Times New Roman"/>
        <family val="1"/>
      </rPr>
      <t xml:space="preserve"> - Solid Waste Resource Renewal Group</t>
    </r>
  </si>
  <si>
    <r>
      <t>Source for columns J,K, and L from NCI</t>
    </r>
    <r>
      <rPr>
        <sz val="8"/>
        <rFont val="Arial"/>
        <family val="2"/>
      </rPr>
      <t>:  Lignocellulosic Biomass to Ethanol Process Design and Economics Utilizating Co-Current Dilute Acid Prehydrolysis and Enzymatic Hydrolysis for Corn Stover</t>
    </r>
  </si>
  <si>
    <t>Name</t>
  </si>
  <si>
    <t>Affiliation</t>
  </si>
  <si>
    <t>Email</t>
  </si>
  <si>
    <t>Project Director</t>
  </si>
  <si>
    <t>Margaret Brennan</t>
  </si>
  <si>
    <t>NJAES - Associate Director</t>
  </si>
  <si>
    <t>brennan@aesop.rutgers.edu</t>
  </si>
  <si>
    <t>Technology Assessment Team Leader</t>
  </si>
  <si>
    <t>Dave Specca</t>
  </si>
  <si>
    <t xml:space="preserve">NJAES - Director, Rutgers EcoComplex </t>
  </si>
  <si>
    <t>specca@aesop.rutgers.edu</t>
  </si>
  <si>
    <t xml:space="preserve">     Technology Assessment Team </t>
  </si>
  <si>
    <t xml:space="preserve">Princeton Plasma Physics Laboratory - Research Scientist </t>
  </si>
  <si>
    <t>spaul@princeton.edu</t>
  </si>
  <si>
    <t>Donna Fennell</t>
  </si>
  <si>
    <t>NJAES -  Associate Professor, Dept.of Environmental Science</t>
  </si>
  <si>
    <t>fennell@envsci.rutgers.edu</t>
  </si>
  <si>
    <t>AJ Both</t>
  </si>
  <si>
    <t>NJAES - Associate Professor, Dept. of  Bioresource Engineering</t>
  </si>
  <si>
    <t>both@aesop.rutgers.edu</t>
  </si>
  <si>
    <t>Jacqueline Melillo</t>
  </si>
  <si>
    <t>jmelillo@aesop.rutgers.edu</t>
  </si>
  <si>
    <t>Resource Assessment Team Leader</t>
  </si>
  <si>
    <t>Brian Schilling</t>
  </si>
  <si>
    <t xml:space="preserve">NJAES - Associate Director, FPI </t>
  </si>
  <si>
    <t>schilling@aesop.rutgers.edu</t>
  </si>
  <si>
    <t xml:space="preserve">     Resource Assessment Team</t>
  </si>
  <si>
    <t>Kevin Sullivan</t>
  </si>
  <si>
    <t>NJAES - Institutional Analyst</t>
  </si>
  <si>
    <t>sullivan@aesop.rutgers.edu</t>
  </si>
  <si>
    <t>Zane Helsel</t>
  </si>
  <si>
    <t>NJAES - Extension Specialist, Dept. of Plant Biology&amp;Pathology</t>
  </si>
  <si>
    <t>helsel@aesop.rutgers.edu</t>
  </si>
  <si>
    <t>Bob Simkins</t>
  </si>
  <si>
    <t>Burlington County Solid Waste Coordinator</t>
  </si>
  <si>
    <t>rsimkins@co.burlington.nj.us</t>
  </si>
  <si>
    <t>Priscilla Hayes</t>
  </si>
  <si>
    <t>NJAES - Director, SWRRG</t>
  </si>
  <si>
    <t>hayes@aesop.rutgers.edu</t>
  </si>
  <si>
    <t>Mike Westendorf</t>
  </si>
  <si>
    <t>NJAES - Associate Extension Specialist, Dept.of Animal Science</t>
  </si>
  <si>
    <t>westendorf@aesop.rutgers.edu</t>
  </si>
  <si>
    <t>Stacy Bonos</t>
  </si>
  <si>
    <t>NJAES - Assistant Professor, Dept. of Plant Biology&amp;Pathology</t>
  </si>
  <si>
    <t>bonos@aesop.rutgers.edu</t>
  </si>
  <si>
    <t>GIS Mapping Team Leader</t>
  </si>
  <si>
    <t>David Tulloch</t>
  </si>
  <si>
    <t xml:space="preserve">NJAES - Associate Director for Program Development, CRSSA </t>
  </si>
  <si>
    <t>dtulloch@crssa.rutgers.edu</t>
  </si>
  <si>
    <t>C. Ververis, K. Georghiou, D. Danielidis, D.G. Hatzinikolaou, P. Santas, R. Santas and V. Corleti, “Cellulose, hemicelluloses, lignin and ash content of some organic materials and their suitability for use as paper pulp supplements“,  Bioresource Technology, Volume 98, Issue 2, January 2007, Pages 296-301.</t>
  </si>
  <si>
    <t>NJ DEP, "2004 Generation, Disposal and Recycling Rates in NJ"</t>
  </si>
  <si>
    <t>See Lines 64 and 65 for energy content.  50% dry matter per Ryan Katofsky (NCI)</t>
  </si>
  <si>
    <t>Atlantic County Utilities Authority</t>
  </si>
  <si>
    <t>Flare</t>
  </si>
  <si>
    <t>Burlington County SLF</t>
  </si>
  <si>
    <t>Florence</t>
  </si>
  <si>
    <t>Parklands</t>
  </si>
  <si>
    <t>Big Hill</t>
  </si>
  <si>
    <t>Buzby Bros.</t>
  </si>
  <si>
    <t>Gems</t>
  </si>
  <si>
    <t>Kramer</t>
  </si>
  <si>
    <t>Kin-Buc</t>
  </si>
  <si>
    <t>Combe Fill North</t>
  </si>
  <si>
    <t>Combe Fill South</t>
  </si>
  <si>
    <t>Electricity</t>
  </si>
  <si>
    <t>Manure Characteristics, MWPS-18, Manure Management Series, Iowa State University.</t>
  </si>
  <si>
    <t>Yield estimates are 5 -yr avg yields from NJ</t>
  </si>
  <si>
    <t>Manure production assumptions from Manure Characteristics.</t>
  </si>
  <si>
    <t>MWPS-18 Manure Management Series. Iowa State University, Ames.</t>
  </si>
  <si>
    <t>Availability factors from Mike Westendorf, Rutgers NJAES.</t>
  </si>
  <si>
    <t>Arena, Blaise J. and Allenza, Paul, “Monosaccharides from corn kernel hulls by hydrolysis”, US patent #4,752,579, June 21, 1988.</t>
  </si>
  <si>
    <t>Clydesdale, F. M. (1994). Optimizing the diet with whole grains. Critical Reviews in Food Science and Nutrition. 34:453-471.</t>
  </si>
  <si>
    <t>Lasztity, R. (1998). “Oat Grain - A Wonderful Reservoir of Natural Nutrients and Biologically Active Substances”, Food Rev. Int. 14:99-119.</t>
  </si>
  <si>
    <t>Betty W. Li, “Determination of sugars, starches, and total dietary fiber in selected high-consumption foods”, Journal AOAC International. 1996;79:718–723.</t>
  </si>
  <si>
    <t>Betty W. Li, Karen W. Andrews, Pamela R. Pehrsson, “Individual Sugars, Soluble, and Insoluble Dietary Fiber Contents of 70 High Consumption Foods“, JOURNAL OF FOOD COMPOSITION AND ANALYSIS, (2002) 15, 715–723.</t>
  </si>
  <si>
    <t>Nilsson, M., Åman, P., Härkönen, H., Hallmans, G., Bach Knudsen, K.E., Mazur, W. and Adlercreutz, H. “Content of nutrients and lignans in roller milled fractions of rye”, Journal of the Science of Food and Agriculture 73:143-148.</t>
  </si>
  <si>
    <t>Sorghum and millets in human nutrition, FOOD AND AGRICULTURE ORGANIZATION OF THE UNITED NATIONS</t>
  </si>
  <si>
    <t>Rome, 1995 (FAO Food and Nutrition Series, No. 27), ISBN 92-5-103381-1</t>
  </si>
  <si>
    <t>USDA National Nutrient Database for Standard Reference, Release 17.</t>
  </si>
  <si>
    <t>    http://www.nal.usda.gov/fnic/foodcomp/Data/SR17/wtrank/wt_rank.html</t>
  </si>
  <si>
    <t>Electricity Production Technologies</t>
  </si>
  <si>
    <t>Direct Combustion-Anaerobic Digestion with Recip Engine</t>
  </si>
  <si>
    <t>Direct Combustion-Landfill Gas with Recip Engine</t>
  </si>
  <si>
    <t>Capture Incinerated MSW in MSW total?</t>
  </si>
  <si>
    <t xml:space="preserve">FOR INFORMATION ONLY - DO NOT CHANGE </t>
  </si>
  <si>
    <t>Landfilled Biomass</t>
  </si>
  <si>
    <t xml:space="preserve">Monmouth </t>
  </si>
  <si>
    <t>salem</t>
  </si>
  <si>
    <t xml:space="preserve">Note:  The Source calculated the population in 2007, 2012, 2015 and 2020, which is why the yearly rate of change was needed for 2010. </t>
  </si>
  <si>
    <t>Food Waste  Landfilled</t>
  </si>
  <si>
    <t>Waste Paper Landfilled</t>
  </si>
  <si>
    <t xml:space="preserve">Sources:  </t>
  </si>
  <si>
    <t>Ethanol to GGE</t>
  </si>
  <si>
    <t>F-T Diesel to GGE</t>
  </si>
  <si>
    <t>Biodiesel to GGE</t>
  </si>
  <si>
    <t>P-Series (MeTHF) to GGE</t>
  </si>
  <si>
    <t>GREET</t>
  </si>
  <si>
    <t>www.worldenergy.net</t>
  </si>
  <si>
    <t>Steve Paul</t>
  </si>
  <si>
    <t>Gal of Eth/GGE</t>
  </si>
  <si>
    <t>Gal of FTE/GGE</t>
  </si>
  <si>
    <t>Gal of BD/GGE</t>
  </si>
  <si>
    <t>Gal of MeTHF/GGE</t>
  </si>
  <si>
    <t xml:space="preserve">The purpose of the resource assessment was to look comprehensively at the state’s biomass resource base to determine the quantity and availability of feedstocks for bioenergy production. The NJAES conducted primary research and collected public data on biomass resources for each New Jersey county (21) to determine an estimated total biomass quantity for the state of New Jersey. More than 40 biomass resources were examined and divided into five categories based on their physical characteristics: sugars/starches, lignocellulosic biomass, bio-oils, solid wastes, and other waste (i.e. animal waste). A screening process was created within the database to determine how much of the total theoretically available biomass was “practically” recoverable for energy production. </t>
  </si>
  <si>
    <t>The following factors were considered in this process: Is/Can the Biomass Be Collected? Is the Biomass Sortable (or is Sorting Needed)? Does the Biomass Have a Valuable Alternative Use?  “Typical” moisture and energy content and/or yield assumptions for each resource were developed and used to calculate total estimated energy potential.  This was a high-level examination of potential energy from biomass, such that the quantitative estimates included in this database should be considered indicative only.  In particular, the results of the screening analysis to estimate recoverable potential are considered preliminary.</t>
  </si>
  <si>
    <r>
      <t>12 – 32 County Summaries</t>
    </r>
    <r>
      <rPr>
        <sz val="12"/>
        <rFont val="Times New Roman"/>
        <family val="1"/>
      </rPr>
      <t xml:space="preserve"> - These worksheets utilize the same categories of information as the Bioenergy Calculator worksheet, but contain data specific for each of New Jersey’s 21 counties.  Energy generation figures on these sheets automatically change when a technology is selected on the Bioenergy Calculator worksheet. Changes on this sheet can be made in the yellow highlighted sections to increase or decrease these figures. Changes will automatically be carried through to the Bioenergy Calculator worksheet and the bioenergy potential will be recalculated to reflect the changes.   </t>
    </r>
  </si>
  <si>
    <t>Net MSW to Landfills</t>
  </si>
  <si>
    <t>Square Miles per County</t>
  </si>
  <si>
    <t>County Specific</t>
  </si>
  <si>
    <t>Yield Estimates</t>
  </si>
  <si>
    <t>WWTP Biogas</t>
  </si>
  <si>
    <t>Flow per Day (MMGal/day)</t>
  </si>
  <si>
    <t>SCF/MMG</t>
  </si>
  <si>
    <t>MMSCF/Year</t>
  </si>
  <si>
    <t>NET USABLE</t>
  </si>
  <si>
    <t xml:space="preserve"> </t>
  </si>
  <si>
    <t xml:space="preserve">Collectibility </t>
  </si>
  <si>
    <t>Alt Use? (0=Yes)</t>
  </si>
  <si>
    <t>Sortable or Sort N/A</t>
  </si>
  <si>
    <t>LFG</t>
  </si>
  <si>
    <t>Wastewater Treatment</t>
  </si>
  <si>
    <t>Assume 8000 btu/lb dry heat content</t>
  </si>
  <si>
    <t>MMBtu/ton</t>
  </si>
  <si>
    <t>TOTAL BIOMASS</t>
  </si>
  <si>
    <t>Other Wastes</t>
  </si>
  <si>
    <t>MMscf/Ton</t>
  </si>
  <si>
    <t>GROSS</t>
  </si>
  <si>
    <t>Sugar/
Starch</t>
  </si>
  <si>
    <t>Equivalent energy content in MMbtu/dry ton for biogases</t>
  </si>
  <si>
    <t>Collecion System/Already producing power</t>
  </si>
  <si>
    <t>Digesters in place</t>
  </si>
  <si>
    <t>Incineration included</t>
  </si>
  <si>
    <t>gallons/yr</t>
  </si>
  <si>
    <t>Approximate Capacity</t>
  </si>
  <si>
    <t>bbl/day</t>
  </si>
  <si>
    <t>MW</t>
  </si>
  <si>
    <t>Provided by Steve Paul  - see "Conversion Tables" tab</t>
  </si>
  <si>
    <t>Estimates provided by Steve P.</t>
  </si>
  <si>
    <t>Assume CNG/LNG, expressed as gallons of gasoline equivalent. 600 scf CNG (or LNG) per MMBtu biomass (65% digester efficiency, 90% methane recovery)</t>
  </si>
  <si>
    <t>Gallons of gasoline equivalent (GGE) estimated assuming gasoline HHV of 124,340 Btu/gallon</t>
  </si>
  <si>
    <t>Wood Composition of C&amp;D</t>
  </si>
  <si>
    <t>C5 mass conversion</t>
  </si>
  <si>
    <t>%</t>
  </si>
  <si>
    <t>C6 mass conversion</t>
  </si>
  <si>
    <t>C5 yield to fuel</t>
  </si>
  <si>
    <t>gal/ton C5</t>
  </si>
  <si>
    <t>C6 yield to fuel</t>
  </si>
  <si>
    <t>gal/ton C6</t>
  </si>
  <si>
    <t>Density</t>
  </si>
  <si>
    <t>lb/gallon</t>
  </si>
  <si>
    <t>% of biomass</t>
  </si>
  <si>
    <t>Fuel yield (gallons / ton) for:</t>
  </si>
  <si>
    <t>Cellulose</t>
  </si>
  <si>
    <t>Corn Stover</t>
  </si>
  <si>
    <t>Citrus Peels</t>
  </si>
  <si>
    <t>Corn Kernel Hulls</t>
  </si>
  <si>
    <t>Corn Kernel</t>
  </si>
  <si>
    <t>Wheat Straw</t>
  </si>
  <si>
    <t>Food waste</t>
  </si>
  <si>
    <t>Newspapers</t>
  </si>
  <si>
    <t>Office paper</t>
  </si>
  <si>
    <t>Mixed paper</t>
  </si>
  <si>
    <t xml:space="preserve">Acres </t>
  </si>
  <si>
    <t>Fresh Weight in tons/yr (1 acre = 1 ton per yr)</t>
  </si>
  <si>
    <t>Dry weight in tons/yr (50% of fresh weight)</t>
  </si>
  <si>
    <t>Note:  In Table 36 of the Northeastern Inventory and Analysis, the following counties were grouped together:  Atlantic and Cape May counties; Bergen and Essex counties; Hudson, Passaic and Union counties; Camden and Gloucester counties; and Mercer, Middlesex and Somerset counties.</t>
  </si>
  <si>
    <t>Forestry Residues</t>
  </si>
  <si>
    <t>ICF Incorporated (1995) and "Characterization of Building-Related Construction and Demolition Debris in the US" by Franklin Associates (June 1998)</t>
  </si>
  <si>
    <t>Gross</t>
  </si>
  <si>
    <t>MSW (Non-Recycled)</t>
  </si>
  <si>
    <t>MSW (Incinerated)</t>
  </si>
  <si>
    <t>MSW (Landfilled)</t>
  </si>
  <si>
    <t>MSW (TOTAL)</t>
  </si>
  <si>
    <t>Solid Waste</t>
  </si>
  <si>
    <t>Recycled</t>
  </si>
  <si>
    <t>C&amp;D non-recycled</t>
  </si>
  <si>
    <t>Bio-Oils</t>
  </si>
  <si>
    <t>Ligno</t>
  </si>
  <si>
    <t>Other</t>
  </si>
  <si>
    <t>average used for mixed paper, landfilled</t>
  </si>
  <si>
    <t>Food Waste (Recycled)</t>
  </si>
  <si>
    <t>TOTALS</t>
  </si>
  <si>
    <t>Totals (Tons)</t>
  </si>
  <si>
    <t>Tons Per Sq. Mile</t>
  </si>
  <si>
    <t>GGE Conversions</t>
  </si>
  <si>
    <t>http://www.vt.tuwien.ac.at/biobib/biobib.html. Assumes dried for transport</t>
  </si>
  <si>
    <t>Anaerobic digestion to Transportation Fuel</t>
  </si>
  <si>
    <t>GGE/MMBtu</t>
  </si>
  <si>
    <t>For CHP, steam/heat production</t>
  </si>
  <si>
    <t>Co-products or process energy requirements for ethanol from cereal grains or transesterification</t>
  </si>
  <si>
    <t>Co-produced electricity from cellulosic ethanol and FT fuels</t>
  </si>
  <si>
    <t>Values given above are conversion efficiencies and yields for the primary products only. For example, the following are not included:</t>
  </si>
  <si>
    <t>Char sales from pyrolysis</t>
  </si>
  <si>
    <t>Process energy reqiorements for LFG or anaerobic digester gas to transportation fuels</t>
  </si>
  <si>
    <t>WEF Manual of Practice FD-19, Sludge Incineration: Thermal Destruction of Residues (1992), Water Environment Federation, Alexandria, VA.)</t>
  </si>
  <si>
    <t>Not needed for calculations</t>
  </si>
  <si>
    <t>Moisture content information not used in all cases, depending on whether or not the source data is supplied on an "as received" or dry basis</t>
  </si>
  <si>
    <t>Btu per kWh</t>
  </si>
  <si>
    <t>% available = 100% to estimate maximum potential</t>
  </si>
  <si>
    <t>Agricultural Crops - starch/sugar based</t>
  </si>
  <si>
    <t>Total Recycled Tons (Dry)</t>
  </si>
  <si>
    <t>Total Recycled Tons (as received)</t>
  </si>
  <si>
    <t>Gross MSW (Dry)</t>
  </si>
  <si>
    <t>Total LFG collected</t>
  </si>
  <si>
    <t>Existing Uses</t>
  </si>
  <si>
    <t>Net LFG Available</t>
  </si>
  <si>
    <t>Totals from Selected technology:</t>
  </si>
  <si>
    <t>Transesterification</t>
  </si>
  <si>
    <t>Subtotal (other wastes  - solid)</t>
  </si>
  <si>
    <t>Subtotal (other wastes - gaseous)</t>
  </si>
  <si>
    <t>Subtotal (other wastes - all)</t>
  </si>
  <si>
    <t>Waste methane sources</t>
  </si>
  <si>
    <t>MMSCF</t>
  </si>
  <si>
    <t>Landfill gas or WWTP biogas to Transportation fuel</t>
  </si>
  <si>
    <t>Assume CNG/LNG, expressed as gallons of gasoline equivalent. Assumes 90% methane recovery from either LFG or WWTP biogas</t>
  </si>
  <si>
    <t>gallons of gasoline equivalent/MMSCF</t>
  </si>
  <si>
    <t>GGE/MMSCF</t>
  </si>
  <si>
    <t>Waste Methane Sources</t>
  </si>
  <si>
    <t>Subtotal (other wastes - solid)</t>
  </si>
  <si>
    <t>Sutotal (other waste - all)</t>
  </si>
  <si>
    <t>MWh/yr</t>
  </si>
  <si>
    <t>http://www.eia.doe.gov/cneaf/solar.renewables/page/trends/table10.html</t>
  </si>
  <si>
    <t>MMBtu/Dry Ton</t>
  </si>
  <si>
    <t>http://www.p2pays.org/ref/05/04547.pdf</t>
  </si>
  <si>
    <t>http://www.deq.state.or.us/wmc/solwaste/documents/LC041681-AppendixE.pdf</t>
  </si>
  <si>
    <t>http://www.vt.tuwien.ac.at/biobib/biobib.html</t>
  </si>
  <si>
    <t>Feedstocks</t>
  </si>
  <si>
    <t>Energy Content Assumptions</t>
  </si>
  <si>
    <t>Argonne National Lab GREET model (Woody Biomass)</t>
  </si>
  <si>
    <t>Argonne National Lab GREET model (Herbaceous Biomass)</t>
  </si>
  <si>
    <t>Choose Technology for Electricity Production:</t>
  </si>
  <si>
    <t>Ethanol from Starch</t>
  </si>
  <si>
    <t>Btu/scf</t>
  </si>
  <si>
    <t xml:space="preserve">Grains </t>
  </si>
  <si>
    <t>Ethanol from Starch (Gallon/Bushel)</t>
  </si>
  <si>
    <t>Fuel Production Potential (Gallons/Yr)</t>
  </si>
  <si>
    <t>Electricity Production Potential (MWh/Yr)</t>
  </si>
  <si>
    <t>Fuel Production Technologies</t>
  </si>
  <si>
    <t>None</t>
  </si>
  <si>
    <t>AD/Landfill Gas to Transportation Fuel</t>
  </si>
  <si>
    <t>Dilute Acid Hydrolysis</t>
  </si>
  <si>
    <t>Recycled Products</t>
  </si>
  <si>
    <t>Corrugated Cardboard</t>
  </si>
  <si>
    <t>Energy Content (HHV, Dry Basis)</t>
  </si>
  <si>
    <t>% Dry Matter (as received)</t>
  </si>
  <si>
    <t>Fuel Production Assumptions</t>
  </si>
  <si>
    <t>Efficiency</t>
  </si>
  <si>
    <t>Industry Standard</t>
  </si>
  <si>
    <t>Feedstock Net Usability Assumptions</t>
  </si>
  <si>
    <t>Poplar</t>
  </si>
  <si>
    <t>Energy Crops</t>
  </si>
  <si>
    <t>Yield Per Acre</t>
  </si>
  <si>
    <t>Tons/Acre</t>
  </si>
  <si>
    <t>No-Keep as Actual Crops</t>
  </si>
  <si>
    <t>No</t>
  </si>
  <si>
    <t>Yes</t>
  </si>
  <si>
    <t>Would you like to convert to Energy Crops</t>
  </si>
  <si>
    <t>Energy Crop (if Applicable)</t>
  </si>
  <si>
    <t>Acreage</t>
  </si>
  <si>
    <t>Head</t>
  </si>
  <si>
    <t>Tons Per Acre</t>
  </si>
  <si>
    <t>Dry Tons/Acre</t>
  </si>
  <si>
    <t>Processing Residues (waste sugars)</t>
  </si>
  <si>
    <t>Processing Residues (lignocellulosic)</t>
  </si>
  <si>
    <t>Recycled Materials</t>
  </si>
  <si>
    <t>Wastewater treatment plant biogas</t>
  </si>
  <si>
    <t>Wastewater treatment plant biosolids</t>
  </si>
  <si>
    <t>Biomass Direct Combustion (CHP) (power component only)</t>
  </si>
  <si>
    <t>Important Notes</t>
  </si>
  <si>
    <t>gallon/bu</t>
  </si>
  <si>
    <t>gallon/lb</t>
  </si>
  <si>
    <t>gallon/dry ton</t>
  </si>
  <si>
    <t>Food Processing Residues (waste sugars)</t>
  </si>
  <si>
    <t>http://www1.eere.energy.gov/biomass/feedstock_databases.html  (average of 6 samples)</t>
  </si>
  <si>
    <t>http://www1.eere.energy.gov/biomass/feedstock_databases.html (average of 12 samples)</t>
  </si>
  <si>
    <t>http://www1.eere.energy.gov/biomass/feedstock_databases.html (1 sample)</t>
  </si>
  <si>
    <t>Units</t>
  </si>
  <si>
    <t>Energy Content</t>
  </si>
  <si>
    <t>Direct Combustion-Co-Firing with Coal</t>
  </si>
  <si>
    <t>Small Scale Gasifier with Recip Engine</t>
  </si>
  <si>
    <t>Transesterification- Soy</t>
  </si>
  <si>
    <t>Assumptions Provided by Rutgers</t>
  </si>
  <si>
    <t>Grease Waste Estimates</t>
  </si>
  <si>
    <t>County</t>
  </si>
  <si>
    <t>Yellow Grease Waste (lbs)</t>
  </si>
  <si>
    <t>Trap Grease Waste (lbs)</t>
  </si>
  <si>
    <t>Bergen</t>
  </si>
  <si>
    <t xml:space="preserve">Grease Waste </t>
  </si>
  <si>
    <t>Trap Waste</t>
  </si>
  <si>
    <t>Burlington</t>
  </si>
  <si>
    <t>per restaurant</t>
  </si>
  <si>
    <t>per person</t>
  </si>
  <si>
    <t>Camden</t>
  </si>
  <si>
    <t>Grease Waste (kilograms)</t>
  </si>
  <si>
    <t>Cape May</t>
  </si>
  <si>
    <t>Grease Waste (pounds)</t>
  </si>
  <si>
    <t>Cumberland</t>
  </si>
  <si>
    <t>Essex</t>
  </si>
  <si>
    <t>Gloucester</t>
  </si>
  <si>
    <t>Hudson</t>
  </si>
  <si>
    <t>Hunterdon</t>
  </si>
  <si>
    <t>Mercer</t>
  </si>
  <si>
    <t>Middlesex</t>
  </si>
  <si>
    <t>Monmouth</t>
  </si>
  <si>
    <t>Morris</t>
  </si>
  <si>
    <t>Ocean</t>
  </si>
  <si>
    <t>Passaic</t>
  </si>
  <si>
    <t>Salem</t>
  </si>
  <si>
    <t>Somerset</t>
  </si>
  <si>
    <t>Sussex</t>
  </si>
  <si>
    <t>Union</t>
  </si>
  <si>
    <t>Warren</t>
  </si>
  <si>
    <t>New Jersey</t>
  </si>
  <si>
    <t>Ethanol Conversion- Sorghum</t>
  </si>
  <si>
    <t>Ethanol Conversion- Rye</t>
  </si>
  <si>
    <t>Ethanol Conversion- Corn for Grain</t>
  </si>
  <si>
    <t>Ethanol Conversion- Wheat</t>
  </si>
  <si>
    <t>F-T Gasification-Conversion for Woody Biomass</t>
  </si>
  <si>
    <t>F-T Gasification-Conversion for Herbaceous Biomass</t>
  </si>
  <si>
    <t>Direct Combustion- Waste to Energy</t>
  </si>
  <si>
    <t>For F-T, total yield for liquids is expressed as gallons of FTD equivalent</t>
  </si>
  <si>
    <t>Transesterification- Yellow Grease</t>
  </si>
  <si>
    <t>Transesterification- Brown Grease</t>
  </si>
  <si>
    <t>Btu/Scf</t>
  </si>
  <si>
    <t>Amount</t>
  </si>
  <si>
    <t>Power:</t>
  </si>
  <si>
    <t>Fuels:</t>
  </si>
  <si>
    <t>Direct Combustion-Stand Alone for Solid Biomass</t>
  </si>
  <si>
    <t>Direct Combustion-Small Scale CHP for Solid Biomass</t>
  </si>
  <si>
    <t>Direct Combustion-ADG/Landfill Gas</t>
  </si>
  <si>
    <t>Pick from Drop-Down Menu Below:</t>
  </si>
  <si>
    <t>Power Generation through Pyrolysis Oils</t>
  </si>
  <si>
    <t xml:space="preserve">Sheraton Atlantic City Convention Center Hotel </t>
  </si>
  <si>
    <t>Atlantic City Hilton Casino Resort</t>
  </si>
  <si>
    <t xml:space="preserve">Bally's Atlantic City </t>
  </si>
  <si>
    <t>Borgata Hotel Casino &amp; Spa</t>
  </si>
  <si>
    <t>Caesar's Atlantic City</t>
  </si>
  <si>
    <t>Resorts Atlantic City</t>
  </si>
  <si>
    <t>Showboat-The Mardi Gras Casino</t>
  </si>
  <si>
    <t>Tropicana Casino and Resort</t>
  </si>
  <si>
    <t>Trump Marina Hotel Casino</t>
  </si>
  <si>
    <t>Trump Plaza Hotel and Casino</t>
  </si>
  <si>
    <t>Trump Taj Mahal Casino Resort</t>
  </si>
  <si>
    <t>A Touch of Italy</t>
  </si>
  <si>
    <t>Angeloni's II Restaurant and Lounge</t>
  </si>
  <si>
    <t>Angelo's Fairmount Tavern</t>
  </si>
  <si>
    <t>Back Bay Ale House, LLC</t>
  </si>
  <si>
    <t>Buddakan</t>
  </si>
  <si>
    <t xml:space="preserve">Carmine's </t>
  </si>
  <si>
    <t>Cuba Libre Restaurant &amp; Rum Bar</t>
  </si>
  <si>
    <t>Deauville Inn</t>
  </si>
  <si>
    <t>Strathmere</t>
  </si>
  <si>
    <t>Laguna Grill Martini bar</t>
  </si>
  <si>
    <t>Brigantine</t>
  </si>
  <si>
    <t>Morton's The Steakhouse</t>
  </si>
  <si>
    <t>Old Waterway Inn</t>
  </si>
  <si>
    <t>Opa Bar and Grille</t>
  </si>
  <si>
    <t>Palm, Atlantic City</t>
  </si>
  <si>
    <t>Rainforest Café</t>
  </si>
  <si>
    <t>Ram's Head Inn</t>
  </si>
  <si>
    <t>Romanelli's By the Sea</t>
  </si>
  <si>
    <t>Longport</t>
  </si>
  <si>
    <t>Ruth's Chris Steakhouse</t>
  </si>
  <si>
    <t>The Continental Restaurant</t>
  </si>
  <si>
    <t>Atlantic</t>
  </si>
  <si>
    <t>Blue Heron Pines Golf Club</t>
  </si>
  <si>
    <t>Cologne</t>
  </si>
  <si>
    <t>Harbor Pines Golf Club</t>
  </si>
  <si>
    <t>Links at Brigantine Beach, The</t>
  </si>
  <si>
    <t>McCullogh's Emerald Golf Links</t>
  </si>
  <si>
    <t>Total</t>
  </si>
  <si>
    <t>Hybrid Poplar</t>
  </si>
  <si>
    <t>Switchgrass</t>
  </si>
  <si>
    <t>Acceptable Use Policy</t>
  </si>
  <si>
    <t>The New Jersey BioEnergy Calculator and Bioenergy Resource Database are copyright protected.</t>
  </si>
  <si>
    <t xml:space="preserve">The Rutgers University Acceptable Use Policy for Computing and Information Technology Resources requires all system users to abide by applicable laws </t>
  </si>
  <si>
    <t xml:space="preserve">and to respect the copyrights and intellectual property of others. Violators of this policy are subject to disciplinary proceedings, and sanctions may include </t>
  </si>
  <si>
    <t xml:space="preserve">suspension of system privileges. In accordance with federal law, the university, in appropriate circumstances, will terminate system privileges of users who </t>
  </si>
  <si>
    <t>are found to be repeat infringers of the copyright laws. See Title 17 United States Code, Section 512(i)(1)(A).</t>
  </si>
  <si>
    <t>Information on Copyright Law</t>
  </si>
  <si>
    <t>Information on United States copyright law is available from the U.S. Copyright Office:</t>
  </si>
  <si>
    <t>http://lcweb.loc.gov/copyright</t>
  </si>
  <si>
    <t>Compliance with Digital Millennium Copyright Act</t>
  </si>
  <si>
    <r>
      <t>Energy generation data for the thirteen selected bioenergy technologies, which takes into consideration advances in energy output and efficiency over time, was also calculated. Estimated energy potential included energy produced using current or near-term technologies appropriate for each resource. All the resource and technology data was integrated with other information (e.g. technology process efficiencies and yields) provided by Navigant Consulting, Inc. A unique Bioenergy Calculator</t>
    </r>
    <r>
      <rPr>
        <vertAlign val="superscript"/>
        <sz val="11"/>
        <rFont val="Times New Roman"/>
        <family val="1"/>
      </rPr>
      <t>©</t>
    </r>
    <r>
      <rPr>
        <sz val="12"/>
        <rFont val="Times New Roman"/>
        <family val="1"/>
      </rPr>
      <t xml:space="preserve"> and biomass resource database were then developed to aggregate all biomass and technology information and to automatically calculate energy generation potential. The database was designed to analyze the biomass resource data and technology assessment data in an interactive fashion and can be updated and modified. The Bioenergy Calculator</t>
    </r>
    <r>
      <rPr>
        <vertAlign val="superscript"/>
        <sz val="11"/>
        <rFont val="Times New Roman"/>
        <family val="1"/>
      </rPr>
      <t>©</t>
    </r>
    <r>
      <rPr>
        <sz val="12"/>
        <rFont val="Times New Roman"/>
        <family val="1"/>
      </rPr>
      <t xml:space="preserve"> yields projected biopower and biofuel estimates for 2007, 2010, 2015, 2020. The database allows for continual updating as additional data is collected and refined.</t>
    </r>
  </si>
  <si>
    <t>[1] Brennan, Margaret, David Specca, Brian Schilling, David Tulloch,Steven Paul, Kevin Sullivan, Zane Helsel, Priscilla Hayes, Jacqueline Melillo, Bob Simkins, Caroline Phillipuk, A.J. Both, Donna Fennell, Mike Westendorf,  Stacy Bonos and  Rhea Brekke. “Assessment of Biomass Energy Potential in New Jersey.” New Jersey Agricultural Experiment Station Publication No. 2007-1. Rutgers, The State University of New Jersey, New Brunswick, NJ. July, 2007.</t>
  </si>
  <si>
    <t>Btu/lb</t>
  </si>
  <si>
    <t>Unit</t>
  </si>
  <si>
    <t>Source</t>
  </si>
  <si>
    <t>Efficiency Assumptions</t>
  </si>
  <si>
    <t>Biomass Direct Combustion (grid sited)</t>
  </si>
  <si>
    <t>Gasification Stand Alone BIGCC</t>
  </si>
  <si>
    <t>Comments</t>
  </si>
  <si>
    <t>NA</t>
  </si>
  <si>
    <t>Selected Technology from Assumptions Page:</t>
  </si>
  <si>
    <t>Selected Technologies from Assumptions Page:</t>
  </si>
  <si>
    <t>School Waste</t>
  </si>
  <si>
    <t>Public</t>
  </si>
  <si>
    <t>Private</t>
  </si>
  <si>
    <t>College</t>
  </si>
  <si>
    <t>Tons</t>
  </si>
  <si>
    <t>NJ Biomass Summary of Resources- Monmouth</t>
  </si>
  <si>
    <t>NJ Biomass Summary of Resources- Middlesex</t>
  </si>
  <si>
    <t>NJ Biomass Summary of Resources- Mercer</t>
  </si>
  <si>
    <t>NJ Biomass Summary of Resources- Hunterdon</t>
  </si>
  <si>
    <t>NJ Biomass Summary of Resources- Hudson</t>
  </si>
  <si>
    <t>NJ Biomass Summary of Resources- Gloucester</t>
  </si>
  <si>
    <t>NJ Biomass Summary of Resources- Essex</t>
  </si>
  <si>
    <t>NJ Biomass Summary of Resources- Cumberland</t>
  </si>
  <si>
    <t>NJ Biomass Summary of Resources- Cape May</t>
  </si>
  <si>
    <t>NJ Biomass Summary of Resources- Camden</t>
  </si>
  <si>
    <t>NJ Biomass Summary of Resources- Burlington</t>
  </si>
  <si>
    <t>Pounds per Bushel</t>
  </si>
  <si>
    <t>Yield per Acre (bu)</t>
  </si>
  <si>
    <t>Yield per Acre (tons)</t>
  </si>
  <si>
    <t>Direct Combustion-Co-Firing</t>
  </si>
  <si>
    <t>Gasification-Stand Alone BIGCC</t>
  </si>
  <si>
    <t>Gasification-Small Scale CHP</t>
  </si>
  <si>
    <t>Pyrolysis</t>
  </si>
  <si>
    <t>List of Power Technologies</t>
  </si>
  <si>
    <t>List of Fuel Technologies</t>
  </si>
  <si>
    <t>Gasification (F-T)</t>
  </si>
  <si>
    <t>Choose Technology for Fuel Production:</t>
  </si>
  <si>
    <t>Cellulosic Ethanol</t>
  </si>
  <si>
    <t>Total MSW</t>
  </si>
  <si>
    <t>Construction and Demo</t>
  </si>
  <si>
    <t>Generator Type</t>
  </si>
  <si>
    <t xml:space="preserve">Calculated Food Waste Tonnage/Mo.  </t>
  </si>
  <si>
    <t xml:space="preserve">Calculated Food Waste Tonnage/Yr.  </t>
  </si>
  <si>
    <t>Hospitals</t>
  </si>
  <si>
    <t>70 tons/mo</t>
  </si>
  <si>
    <t>Long Term Care Facilities</t>
  </si>
  <si>
    <t>105 tons/mo</t>
  </si>
  <si>
    <t>Restaurants</t>
  </si>
  <si>
    <t>2540 tons/mo</t>
  </si>
  <si>
    <t>Hotels</t>
  </si>
  <si>
    <t>405 tons/mo</t>
  </si>
  <si>
    <t>Conference Centers</t>
  </si>
  <si>
    <t>Public K-12</t>
  </si>
  <si>
    <t>Private K-!2</t>
  </si>
  <si>
    <t>Higher Education</t>
  </si>
  <si>
    <t>TOTAL</t>
  </si>
  <si>
    <t>Data Provided by Rutgers (Priscilla Hayes) on 11/16/2006</t>
  </si>
  <si>
    <t>Casino Name</t>
  </si>
  <si>
    <t>City</t>
  </si>
  <si>
    <t>Hotel Accommodations</t>
  </si>
  <si>
    <t># of Fine Dining</t>
  </si>
  <si>
    <t>Casual Dining</t>
  </si>
  <si>
    <t>Bars/Lounges</t>
  </si>
  <si>
    <t>Full Banquet Seating</t>
  </si>
  <si>
    <t>Restaurant Waste in Tons</t>
  </si>
  <si>
    <t>Clarion Hotel and Convention Center</t>
  </si>
  <si>
    <t>West Atlantic City/EHT</t>
  </si>
  <si>
    <t>Comfort Inn North</t>
  </si>
  <si>
    <t>Absecon</t>
  </si>
  <si>
    <t>Days Inn Atlantic City/Pleasantville</t>
  </si>
  <si>
    <t>Egg Harbor Township</t>
  </si>
  <si>
    <t>Hampton Inn Absecon</t>
  </si>
  <si>
    <t>Howard Johnson Hotel</t>
  </si>
  <si>
    <t>Atlantic City</t>
  </si>
  <si>
    <t>Quality Inn Bayside Resort</t>
  </si>
  <si>
    <t>West Atlantic City</t>
  </si>
  <si>
    <t>Ramada Inn</t>
  </si>
  <si>
    <t>Hammonton</t>
  </si>
  <si>
    <t>Seaview Resort &amp; Spa, A Marriot Resort</t>
  </si>
  <si>
    <t>Galloway</t>
  </si>
  <si>
    <t>Agricultual crop residuals</t>
  </si>
  <si>
    <t>Agricultural livestock waste</t>
  </si>
  <si>
    <t>FEEDSTOCKS</t>
  </si>
  <si>
    <t>Energy crops - lignocellulosic</t>
  </si>
  <si>
    <t>Oils - Used cooking oil "yellow"</t>
  </si>
  <si>
    <t>Oils - Grease trap waste "brown"</t>
  </si>
  <si>
    <t>Oils - field crop or virgin</t>
  </si>
  <si>
    <t>Energy crops - starch/sugar based</t>
  </si>
  <si>
    <t>Landfill Gas</t>
  </si>
  <si>
    <t>SUGARS/STARCHES</t>
  </si>
  <si>
    <t>LIGNOCELLULOSIC BIOMASS</t>
  </si>
  <si>
    <t>BIO-OILS</t>
  </si>
  <si>
    <t>SOLID WASTES</t>
  </si>
  <si>
    <t>OTHER WASTES</t>
  </si>
  <si>
    <t>Yard waste</t>
  </si>
  <si>
    <t>Sorghum</t>
  </si>
  <si>
    <t>Rye</t>
  </si>
  <si>
    <t>Corn for Grain</t>
  </si>
  <si>
    <t>Wheat</t>
  </si>
  <si>
    <t>Net Usable Quantity (Dry Tons)</t>
  </si>
  <si>
    <t>Subtotal</t>
  </si>
  <si>
    <t>Soybeans</t>
  </si>
  <si>
    <t>Biomass  (Residues)</t>
  </si>
  <si>
    <t>Sweet Corn</t>
  </si>
  <si>
    <t>Corn for Silage</t>
  </si>
  <si>
    <t>Alfalfa Hay</t>
  </si>
  <si>
    <t>Other Hay</t>
  </si>
  <si>
    <t>Livestock</t>
  </si>
  <si>
    <r>
      <t>Animal Weight</t>
    </r>
    <r>
      <rPr>
        <b/>
        <vertAlign val="superscript"/>
        <sz val="10"/>
        <rFont val="Arial"/>
        <family val="2"/>
      </rPr>
      <t>2</t>
    </r>
  </si>
  <si>
    <t>Animal Units (1000lbs)</t>
  </si>
  <si>
    <t>Annual Manure Production (lbs)</t>
  </si>
  <si>
    <t>Beef Cattle</t>
  </si>
  <si>
    <t>Growing</t>
  </si>
  <si>
    <t>Cows</t>
  </si>
  <si>
    <t>All Beef Cattle</t>
  </si>
  <si>
    <t>Dairy Cows</t>
  </si>
  <si>
    <t>Calves</t>
  </si>
  <si>
    <t>Heifers</t>
  </si>
  <si>
    <t>Lactating</t>
  </si>
  <si>
    <t>Dry</t>
  </si>
  <si>
    <t>All Dairy Cows</t>
  </si>
  <si>
    <t>Equine</t>
  </si>
  <si>
    <t>Sheep</t>
  </si>
  <si>
    <t>Goats</t>
  </si>
  <si>
    <t>Pigs</t>
  </si>
  <si>
    <t>Growing Swine</t>
  </si>
  <si>
    <t>Mature Swine</t>
  </si>
  <si>
    <t>Poultry (layers)</t>
  </si>
  <si>
    <t>Turkeys</t>
  </si>
  <si>
    <t>Total Livestock</t>
  </si>
  <si>
    <t>Total Manure plus Bedding (Tons)</t>
  </si>
  <si>
    <t>Corrugated</t>
  </si>
  <si>
    <t>Mixed Office Paper</t>
  </si>
  <si>
    <t>Newspaper</t>
  </si>
  <si>
    <t>Other Paper/Mag/JunkMail</t>
  </si>
  <si>
    <t>Brush/Tree Parts</t>
  </si>
  <si>
    <t>Grass Clippings</t>
  </si>
  <si>
    <t>Leaves</t>
  </si>
  <si>
    <t>Stumps</t>
  </si>
  <si>
    <t>Food Waste</t>
  </si>
  <si>
    <t>Process Residue</t>
  </si>
  <si>
    <t>Wood Scraps</t>
  </si>
  <si>
    <t>NJ Biomass Summary of Resources- Atlantic</t>
  </si>
  <si>
    <t>FEEDSTOCK CATEGORIES</t>
  </si>
  <si>
    <t>Total Available Manure (Tons)</t>
  </si>
  <si>
    <t>Total Bedding (Tons)</t>
  </si>
  <si>
    <t>Comments:</t>
  </si>
  <si>
    <t>NJ Biomass Summary of Resources- Warren</t>
  </si>
  <si>
    <t>NJ Biomass Summary of Resources- Union</t>
  </si>
  <si>
    <t>NJ Biomass Summary of Resources- Sussex</t>
  </si>
  <si>
    <t>NJ Biomass Summary of Resources- Somerset</t>
  </si>
  <si>
    <t>NJ Biomass Summary of Resources- Salem</t>
  </si>
  <si>
    <t>NJ Biomass Summary of Resources- Passiac</t>
  </si>
  <si>
    <t>NJ Biomass Summary of Resources- Ocean</t>
  </si>
  <si>
    <t>NJ Biomass Summary of Resources- Morris</t>
  </si>
  <si>
    <t>Loyola College, MD - Student Intern</t>
  </si>
  <si>
    <t>See Note (right corner)</t>
  </si>
  <si>
    <t xml:space="preserve">Moisture content is NCI estimate </t>
  </si>
  <si>
    <t>Comment:</t>
  </si>
  <si>
    <t>Heat Content and Moisture provided by NJAES and Biobib - http://www.vt.tuwien.ac.at/biobib/biobib.html</t>
  </si>
  <si>
    <t>See note (right corner)</t>
  </si>
  <si>
    <t>See Comment Below</t>
  </si>
  <si>
    <t>Pyrolysis produces char (carbon) that can be sold or also used to generate electricity</t>
  </si>
  <si>
    <t>Thirteen bioenergy applications that are compatible with New Jersey’s biomass resources were analyzed in detail. Considerations for the technology assessment included the following:</t>
  </si>
  <si>
    <r>
      <t>The New Jersey Bioenergy Calculator</t>
    </r>
    <r>
      <rPr>
        <vertAlign val="superscript"/>
        <sz val="11"/>
        <rFont val="Times New Roman"/>
        <family val="1"/>
      </rPr>
      <t>©</t>
    </r>
    <r>
      <rPr>
        <sz val="12"/>
        <rFont val="Times New Roman"/>
        <family val="1"/>
      </rPr>
      <t xml:space="preserve"> and Biomass Resource Database were developed by the New Jersey Agricultural Experiment Station (NJAES) and was funded by the New Jersey Board of Public Utilities. They are part of the larger NJAES project entitled: “Assessment of Biomass Energy Potential in New Jersey.”</t>
    </r>
    <r>
      <rPr>
        <vertAlign val="superscript"/>
        <sz val="11"/>
        <rFont val="Times New Roman"/>
        <family val="1"/>
      </rPr>
      <t>[1]</t>
    </r>
    <r>
      <rPr>
        <sz val="12"/>
        <rFont val="Times New Roman"/>
        <family val="1"/>
      </rPr>
      <t xml:space="preserve"> The objectives of this study were to: 1) assess the characteristics and quantity of New Jersey’s biomass</t>
    </r>
    <r>
      <rPr>
        <vertAlign val="superscript"/>
        <sz val="11"/>
        <rFont val="Times New Roman"/>
        <family val="1"/>
      </rPr>
      <t>[2]</t>
    </r>
    <r>
      <rPr>
        <sz val="12"/>
        <rFont val="Times New Roman"/>
        <family val="1"/>
      </rPr>
      <t xml:space="preserve"> resources; 2) assess technologies (commercially or near commercially available) that are capable of producing bioenergy, in the form of electric power and transportation fuels from New Jersey’s biomass resources; 3) develop the first statewide mapping of waste/biomass resources and bioenergy potential; and 4) develop policy recommendations for moving New Jersey into the forefront of bioenergy innovation. It is anticipated that these deliverables will result in the establishment of an outstanding foundation upon which to develop the bioenergy potential for New Jersey.</t>
    </r>
  </si>
  <si>
    <t>Project Overview</t>
  </si>
  <si>
    <r>
      <t>Updating/Changing Information:</t>
    </r>
    <r>
      <rPr>
        <sz val="12"/>
        <rFont val="Times New Roman"/>
        <family val="1"/>
      </rPr>
      <t xml:space="preserve"> Any changes to biomass quantities or energy efficiencies </t>
    </r>
    <r>
      <rPr>
        <b/>
        <sz val="12"/>
        <rFont val="Times New Roman"/>
        <family val="1"/>
      </rPr>
      <t>SHOULD NOT</t>
    </r>
    <r>
      <rPr>
        <sz val="12"/>
        <rFont val="Times New Roman"/>
        <family val="1"/>
      </rPr>
      <t xml:space="preserve"> be made on this sheet. All changes need to be made on the relevant supporting worksheets. For changes in biomass quantities, make adjustments to the desired feedstock on the "Biomass Assumptions"  or "County" worksheets. Modifications will automatically be carried through the database and the energy generation potential estimated on the Bioenergy Calculator worksheet will automatically adjust to reflect the new information. For changes in energy efficiencies go to the Technology Assumptions worksheet and make changes as desired. Additional factors in the calculator can be changed as well, and are described in the sections below. Once again, all modifications will automatically create updated energy generation figures on the Bioenergy Calculator worksheet.</t>
    </r>
  </si>
  <si>
    <t>NASSAgricultural Statistics 2011 Annual</t>
  </si>
  <si>
    <t>% Growth Between 2010 and 2015</t>
  </si>
  <si>
    <t>% Growth Between 2010 and 2020</t>
  </si>
  <si>
    <t>% Growth Between 2010 and 2025</t>
  </si>
  <si>
    <t>Source:  "Table 1. Projections of Total Population by County:  New Jersey, 2008 to 2028," NJ Department of Labor and Workforce Development http://lwd.state.nj.us/labor/lpa/dmograph/lfproj/lfproj_index.html</t>
  </si>
  <si>
    <t xml:space="preserve"> Average</t>
  </si>
  <si>
    <t>Timberland Biomass in NJ                             (Data in thousands)</t>
  </si>
  <si>
    <t>Acreage from 2009 New Jersey Farmland Assessment Data</t>
  </si>
  <si>
    <t># Head from 2009 New Jersey Farmland Assessment Data</t>
  </si>
  <si>
    <t>*Includes Rye for Cover and Rye for Grain</t>
  </si>
  <si>
    <t>*Includes Wheat  and Wheat for Cover</t>
  </si>
  <si>
    <t>*Poultry population includes ducks, meat chickens, and egg chickens</t>
  </si>
  <si>
    <t>Young</t>
  </si>
  <si>
    <t>Mature</t>
  </si>
  <si>
    <t>Swine</t>
  </si>
  <si>
    <t>*Poultry Population includes ducks, meat chickens, and egg chickens</t>
  </si>
  <si>
    <t>* Includes Rye for Grain and Rye for Cover</t>
  </si>
  <si>
    <t>*Includes Wheat for Grain and Wheat for Cover</t>
  </si>
  <si>
    <t>* Poultry population includes ducks, meat chickens, and egg chickens</t>
  </si>
  <si>
    <t>*Poultry population includes duck, meat chickens, and egg chickens</t>
  </si>
  <si>
    <t>* Poultry Population includes ducks, meat chickens, and egg chickens</t>
  </si>
  <si>
    <t>* Electronic File Exceprt from Sewage Sludge production by Management Mode 2010</t>
  </si>
  <si>
    <t>http://www.state.nj.us/dep/dwq/sludge.htm</t>
  </si>
  <si>
    <t xml:space="preserve">Source:  2010 Online Residuals PDF from Bureau of Pretreatment and Residuals </t>
  </si>
  <si>
    <t># Head from 2004 New Jersey Farmland Assessment Data</t>
  </si>
  <si>
    <t>Population Estimate 2010</t>
  </si>
  <si>
    <t>Emailed Dr. Stacy Bonos 3/15/12</t>
  </si>
  <si>
    <t>Change in Population 2010 to 2025</t>
  </si>
  <si>
    <t>Flow From 2010 DEP Report*</t>
  </si>
  <si>
    <t>Facility</t>
  </si>
  <si>
    <t>Design Flow (MMgal/day)</t>
  </si>
  <si>
    <t>Atlantic County UA</t>
  </si>
  <si>
    <t>Boro of Buena MUA</t>
  </si>
  <si>
    <t>Wilad Glass</t>
  </si>
  <si>
    <t>Hammonton WWTP</t>
  </si>
  <si>
    <t>Elwood Elementary</t>
  </si>
  <si>
    <t>Oaks of Weymouth</t>
  </si>
  <si>
    <t>Edgewater Boro STP</t>
  </si>
  <si>
    <t>Mtn. Shadows at Franklin Lakes</t>
  </si>
  <si>
    <t>Franklin Square S.C.</t>
  </si>
  <si>
    <t>Franklin Crossing</t>
  </si>
  <si>
    <t>Horizons at Franklin Lakes</t>
  </si>
  <si>
    <t>Bergen County UA</t>
  </si>
  <si>
    <t>Ramapo-Indian Hills H.S.</t>
  </si>
  <si>
    <t>Ramapo River Club WTP</t>
  </si>
  <si>
    <t>Skyview Hi Brook STP</t>
  </si>
  <si>
    <t>Oakland DPW-Oakwood Knolls</t>
  </si>
  <si>
    <t>Boro of Oakland-Chapel Hill</t>
  </si>
  <si>
    <t>Cablevision</t>
  </si>
  <si>
    <t>Aramis Inc.</t>
  </si>
  <si>
    <t>Oaklyn Care Center</t>
  </si>
  <si>
    <t>Ridgewood Village STP</t>
  </si>
  <si>
    <t>Norwest Bergen County UA</t>
  </si>
  <si>
    <t>Usable Flow for Biogas Production (MMgal/day)</t>
  </si>
  <si>
    <t>Viking Yacht</t>
  </si>
  <si>
    <t>Beverly SA</t>
  </si>
  <si>
    <t>Youth Correctional Institution</t>
  </si>
  <si>
    <t>Common Council-Burlington City</t>
  </si>
  <si>
    <t>Burlington Twp Central Ave STP</t>
  </si>
  <si>
    <t>Old York Country Club</t>
  </si>
  <si>
    <t>Delran SA</t>
  </si>
  <si>
    <t>Evesham Twp Elmwood STP</t>
  </si>
  <si>
    <t>Evesham Twp Woodstream STP</t>
  </si>
  <si>
    <t>Kings Grant Sewerage Corp</t>
  </si>
  <si>
    <t>Fieldsboro STP</t>
  </si>
  <si>
    <t>Florence Twp STP</t>
  </si>
  <si>
    <t>Mansfield Farms</t>
  </si>
  <si>
    <t>Homestead Utility Company</t>
  </si>
  <si>
    <t>Maple Shade</t>
  </si>
  <si>
    <t>Boro of Medford Lakes STP</t>
  </si>
  <si>
    <t>Medford WPCP</t>
  </si>
  <si>
    <t>Mount Holly MUA</t>
  </si>
  <si>
    <t>Spartan Village Mobile Home</t>
  </si>
  <si>
    <t>North Hanover Middle school</t>
  </si>
  <si>
    <t>Palmyra STP</t>
  </si>
  <si>
    <t>Helen Fort Middle School</t>
  </si>
  <si>
    <t>Pemberton Twp MUA</t>
  </si>
  <si>
    <t>US Army Fort Dix/ McGuire AFB</t>
  </si>
  <si>
    <t>Riverside STP</t>
  </si>
  <si>
    <t>Riverton</t>
  </si>
  <si>
    <t>Mobile Estates of Southampton</t>
  </si>
  <si>
    <t>Pinelands Sewer Company</t>
  </si>
  <si>
    <t>Springfield Twp. School STP</t>
  </si>
  <si>
    <t>Tabernacle Twp. Middle School</t>
  </si>
  <si>
    <t>Upper Elementary</t>
  </si>
  <si>
    <t>Willingboro MUA</t>
  </si>
  <si>
    <t>New Lisbon State School</t>
  </si>
  <si>
    <t>Wrightstown MUA</t>
  </si>
  <si>
    <t>Cinnaminson SA</t>
  </si>
  <si>
    <t>Morrestown Twp STP</t>
  </si>
  <si>
    <t xml:space="preserve">Mount Laurel MUA </t>
  </si>
  <si>
    <t>Executive Days Inn</t>
  </si>
  <si>
    <t xml:space="preserve">Hanover Mobile Home Park </t>
  </si>
  <si>
    <t>California Villa Mobile Home</t>
  </si>
  <si>
    <t>Camden County MUA Main STP</t>
  </si>
  <si>
    <t>Camden County Vo-Tech School</t>
  </si>
  <si>
    <t>Winslow Sanitary Corp.</t>
  </si>
  <si>
    <t>AC Moore</t>
  </si>
  <si>
    <t>Cape May Co. MUA 7-Mile Beach</t>
  </si>
  <si>
    <t>Lake and Shore Resort</t>
  </si>
  <si>
    <t>Lower Twp. MUA</t>
  </si>
  <si>
    <t>Cape May City WWTP</t>
  </si>
  <si>
    <t>Avalon Country Club</t>
  </si>
  <si>
    <t>Cape May County MUA Ocean City</t>
  </si>
  <si>
    <t>Cedar Square Shopping Center</t>
  </si>
  <si>
    <t>Atlantic Electric</t>
  </si>
  <si>
    <t>Osprey Point</t>
  </si>
  <si>
    <t>Marmora Shopping Center</t>
  </si>
  <si>
    <t>Carol Lynn Resorts</t>
  </si>
  <si>
    <t>Woodbine State School</t>
  </si>
  <si>
    <t>CCUA-Cohansey River Basin</t>
  </si>
  <si>
    <t>Myron Powell Elementary</t>
  </si>
  <si>
    <t>Bayside State Prison</t>
  </si>
  <si>
    <t>Millville SA STP</t>
  </si>
  <si>
    <t>Landis SA STP</t>
  </si>
  <si>
    <t>Caldwell Boro</t>
  </si>
  <si>
    <t>Cedar Grove STP</t>
  </si>
  <si>
    <t>Livingston Twp STP</t>
  </si>
  <si>
    <t>Verona STP</t>
  </si>
  <si>
    <t>Delsea Middle School</t>
  </si>
  <si>
    <t>Greenwich Twp STP</t>
  </si>
  <si>
    <t>Twp of Harrison Mullica Hill</t>
  </si>
  <si>
    <t>Logan Twp MUA</t>
  </si>
  <si>
    <t>Boro of Swedesboro</t>
  </si>
  <si>
    <t>Gloucester County UA</t>
  </si>
  <si>
    <t>WaWa</t>
  </si>
  <si>
    <t>Hoboken City STP</t>
  </si>
  <si>
    <t>North Bergen Woodcliff</t>
  </si>
  <si>
    <t>North Bergen Central STP</t>
  </si>
  <si>
    <t>Hudson County Meadowview Hosp.</t>
  </si>
  <si>
    <t>West New York Town MUA</t>
  </si>
  <si>
    <t>Salvation Army- Camp Tecumseh</t>
  </si>
  <si>
    <t>Alexandria School</t>
  </si>
  <si>
    <t>Thomas Conley Elementary</t>
  </si>
  <si>
    <t>Travel Centers of America</t>
  </si>
  <si>
    <t>Fawn Run</t>
  </si>
  <si>
    <t>Clinton Town STP</t>
  </si>
  <si>
    <t>Round Valley School STP</t>
  </si>
  <si>
    <t>Youth Corr'n Inst.- Annandale</t>
  </si>
  <si>
    <t>Arrow Mill</t>
  </si>
  <si>
    <t>Exxon Research and Development</t>
  </si>
  <si>
    <t>Glen Meadows/Twin Oaks</t>
  </si>
  <si>
    <t>Delaware Twp MUA</t>
  </si>
  <si>
    <t>Verducci's Specialty</t>
  </si>
  <si>
    <t>Frenchtown STP</t>
  </si>
  <si>
    <t>Route 12 Business Park</t>
  </si>
  <si>
    <t>Spruce Hills Development Corp.</t>
  </si>
  <si>
    <t>Kingwood Twp Board of Ed.</t>
  </si>
  <si>
    <t>Lambertville STP</t>
  </si>
  <si>
    <t>Hagadorn Geriatric Center</t>
  </si>
  <si>
    <t>Milford Sewer Utility STP</t>
  </si>
  <si>
    <t>Copper Hill School</t>
  </si>
  <si>
    <t>Raritan Twp MUA</t>
  </si>
  <si>
    <t>Raritan Twp MUA Flemington STP</t>
  </si>
  <si>
    <t>Stanton Prop</t>
  </si>
  <si>
    <t>Readington Lebanon SA</t>
  </si>
  <si>
    <t>A.M. Best Company</t>
  </si>
  <si>
    <t>Valley Road S.C.-Pottersville</t>
  </si>
  <si>
    <t>Oldwick Village STP</t>
  </si>
  <si>
    <t>Crossroads @ Oldwick</t>
  </si>
  <si>
    <t>Christy Property</t>
  </si>
  <si>
    <t>Village Square</t>
  </si>
  <si>
    <t>Premier Development</t>
  </si>
  <si>
    <t>Union Twp. Board of Ed.-Jutland</t>
  </si>
  <si>
    <t xml:space="preserve">Lookout Point </t>
  </si>
  <si>
    <t>Brass Castle</t>
  </si>
  <si>
    <t>Rheox</t>
  </si>
  <si>
    <t>East Windsor MUA</t>
  </si>
  <si>
    <t>Independence Ave. WWTP</t>
  </si>
  <si>
    <t>Hightstown Boro</t>
  </si>
  <si>
    <t>Bristol-Myers Squibb</t>
  </si>
  <si>
    <t>AT&amp;T</t>
  </si>
  <si>
    <t>Mercer County Correction Cntr.</t>
  </si>
  <si>
    <t>Stony Brook RSA-Hopewell STP</t>
  </si>
  <si>
    <t>Educational Testing Service</t>
  </si>
  <si>
    <t>Ewing Lawrence SA</t>
  </si>
  <si>
    <t>Pennytown Shopping Center</t>
  </si>
  <si>
    <t>Stony Brook RSA</t>
  </si>
  <si>
    <t>Trenton STP</t>
  </si>
  <si>
    <t>Stony Brook RSA-Pennington STP</t>
  </si>
  <si>
    <t>Jamesway - Firestone</t>
  </si>
  <si>
    <t>Jamesburg Training Center</t>
  </si>
  <si>
    <t>Lincoln Property Utility Co.</t>
  </si>
  <si>
    <t>Middlesex County UA</t>
  </si>
  <si>
    <t>Marlboro Psychiatric</t>
  </si>
  <si>
    <t>Existing Flow (MMgal/day)</t>
  </si>
  <si>
    <t>Bordentown SA</t>
  </si>
  <si>
    <t>National Auto Dealers Exchange</t>
  </si>
  <si>
    <t>Seneca High School</t>
  </si>
  <si>
    <t>CMCMUA Wildwood/Lower STP</t>
  </si>
  <si>
    <t>Passaic Valley Sewerage Comm.</t>
  </si>
  <si>
    <t>Secaucus MUA</t>
  </si>
  <si>
    <t>Tewksbury Twp Elementary</t>
  </si>
  <si>
    <t>Allentown WPCP</t>
  </si>
  <si>
    <t>Asbury Park STP</t>
  </si>
  <si>
    <t>Due Process Golf Course</t>
  </si>
  <si>
    <t>Colts Neck High School</t>
  </si>
  <si>
    <t>The Orchards of Colts Neck</t>
  </si>
  <si>
    <t>Conover Rd Elementary</t>
  </si>
  <si>
    <t>Brandywine Assisted Living</t>
  </si>
  <si>
    <t>Earle Naval Weapons Station</t>
  </si>
  <si>
    <t>Colts Neck Inn</t>
  </si>
  <si>
    <t>Shadow Isle Golf Club</t>
  </si>
  <si>
    <t>Monmouth Battlefield State Park</t>
  </si>
  <si>
    <t>Bd. Of Ed Hlmdel Twp.</t>
  </si>
  <si>
    <t>Holmdel Nursing and Convales.</t>
  </si>
  <si>
    <t xml:space="preserve">Prudential Ins. Co. of America </t>
  </si>
  <si>
    <t>Orchard Estates</t>
  </si>
  <si>
    <t>Long Branch SA Joling Ave. STP</t>
  </si>
  <si>
    <t>Western Monmouth UA</t>
  </si>
  <si>
    <t>Manalapan Bowling Center</t>
  </si>
  <si>
    <t>Sandy Hook Nat'l Rec Area</t>
  </si>
  <si>
    <t>Middletown Twp SA</t>
  </si>
  <si>
    <t>McDonalds</t>
  </si>
  <si>
    <t>Northeast Monmouth RSA</t>
  </si>
  <si>
    <t>Neptune Twp STP #2 Old Corlies</t>
  </si>
  <si>
    <t>Twp of Ocean SA</t>
  </si>
  <si>
    <t>Roosevelt Boro STP</t>
  </si>
  <si>
    <t>Bayshore Regional SA</t>
  </si>
  <si>
    <t>Becon Hill WTF</t>
  </si>
  <si>
    <t>South Monmouth RSA</t>
  </si>
  <si>
    <t xml:space="preserve">Econo Lodge Motel </t>
  </si>
  <si>
    <t>95 West Main Street</t>
  </si>
  <si>
    <t>Chester Outlet Mall</t>
  </si>
  <si>
    <t>Madison - Chatham Joint Meeting</t>
  </si>
  <si>
    <t>Chatham Twp - Park Central</t>
  </si>
  <si>
    <t>Chatham Twp - Main</t>
  </si>
  <si>
    <t>Chatham Glen</t>
  </si>
  <si>
    <t>Chester Shopping Mall</t>
  </si>
  <si>
    <t>Hills of Chester</t>
  </si>
  <si>
    <t>Chester Springs Shopping Cntr.</t>
  </si>
  <si>
    <t>Four Seasons at Chester</t>
  </si>
  <si>
    <t>Chester Breeding Station</t>
  </si>
  <si>
    <t>Welkind Neurological Hospital</t>
  </si>
  <si>
    <t>The Green at Florham Park</t>
  </si>
  <si>
    <t>Florham Park SA</t>
  </si>
  <si>
    <t>Hanover Twp STP</t>
  </si>
  <si>
    <t>Morristown STP</t>
  </si>
  <si>
    <t xml:space="preserve">Sunrise at Jefferson </t>
  </si>
  <si>
    <t>Pathmark Supermarket</t>
  </si>
  <si>
    <t>Seneca Gardens</t>
  </si>
  <si>
    <t>Berskshire Valley Golf</t>
  </si>
  <si>
    <t>Senior High-Middle School</t>
  </si>
  <si>
    <t>Arthur Stanlick school</t>
  </si>
  <si>
    <t>White Rock STP</t>
  </si>
  <si>
    <t>Sandy Point, Inc.</t>
  </si>
  <si>
    <t>Westage at Mendham</t>
  </si>
  <si>
    <t>Mossepac Development</t>
  </si>
  <si>
    <t>Jefferson Village Square</t>
  </si>
  <si>
    <t>Kinnelon Twp. Stony Brook Sch.</t>
  </si>
  <si>
    <t>Philips Accessories</t>
  </si>
  <si>
    <t>Peq. Lincoln Park Fairfield SA</t>
  </si>
  <si>
    <t>Medham East</t>
  </si>
  <si>
    <t>India Brook STP</t>
  </si>
  <si>
    <t>Morris Twp-Butterworth STP</t>
  </si>
  <si>
    <t>Morris Twp-Woodland STP</t>
  </si>
  <si>
    <t>Hills of Arlington</t>
  </si>
  <si>
    <t>Wyndham Point</t>
  </si>
  <si>
    <t>Mt. Olive Twp STP</t>
  </si>
  <si>
    <t>Musconetcong SA</t>
  </si>
  <si>
    <t>Mount Olive Villages</t>
  </si>
  <si>
    <t>Hidden Meadows</t>
  </si>
  <si>
    <t>Rockaway Valley Regional SA</t>
  </si>
  <si>
    <t>Parsippany Troy-Hills STP</t>
  </si>
  <si>
    <t>Greystone Park Psych. Hospital</t>
  </si>
  <si>
    <t>Twp of Long Hill</t>
  </si>
  <si>
    <t>Sussex Turnpike</t>
  </si>
  <si>
    <t>Aspen Ice</t>
  </si>
  <si>
    <t>Roxbury Twp-Ajax Terrace STP</t>
  </si>
  <si>
    <t>Days Inn STP</t>
  </si>
  <si>
    <t>Hackettstwon MUA WPCP</t>
  </si>
  <si>
    <t>Schooley's Mt. STP</t>
  </si>
  <si>
    <t>Long Valley Village</t>
  </si>
  <si>
    <t>Ocean County UA Central STP</t>
  </si>
  <si>
    <t>Ocean County UA North STP</t>
  </si>
  <si>
    <t>Maple Blen Mobile Park</t>
  </si>
  <si>
    <t>Southwind Mobile Homes Village</t>
  </si>
  <si>
    <t>Jackson Estates</t>
  </si>
  <si>
    <t>Jensen's Deep Run Village</t>
  </si>
  <si>
    <t>Plumstead Middle School</t>
  </si>
  <si>
    <t>Ocean Co. UA Southern STP</t>
  </si>
  <si>
    <t>Pompton Lakes MUA</t>
  </si>
  <si>
    <t>Bald Eagle Village</t>
  </si>
  <si>
    <t>Franciscan Friars</t>
  </si>
  <si>
    <t>Ringwood State Park</t>
  </si>
  <si>
    <t>Ringwood Acres</t>
  </si>
  <si>
    <t>Robert Erksine School</t>
  </si>
  <si>
    <t>Ringwood Shopping Plaza</t>
  </si>
  <si>
    <t>Wanaque Valley RSA</t>
  </si>
  <si>
    <t>Wayne Twp-Mountainview</t>
  </si>
  <si>
    <t>West Milford Shopping Center</t>
  </si>
  <si>
    <t xml:space="preserve">Crescent Park STP </t>
  </si>
  <si>
    <t>Reflection Lakes Garden Apts.</t>
  </si>
  <si>
    <t>Awosting STP</t>
  </si>
  <si>
    <t>Olde Milford Sewage Plant</t>
  </si>
  <si>
    <t>Highview STP</t>
  </si>
  <si>
    <t>West Millford Twp-Birch Hill</t>
  </si>
  <si>
    <t xml:space="preserve">Greenwood Waterfront </t>
  </si>
  <si>
    <t>Bald Eagle Manor</t>
  </si>
  <si>
    <t>Carney's Point STP</t>
  </si>
  <si>
    <t>PSE&amp;G Hope Creek Gen Station STP</t>
  </si>
  <si>
    <t>Hancock's Bridge Village STP</t>
  </si>
  <si>
    <t>Canton Village STP</t>
  </si>
  <si>
    <t>Energy Freedom Pioneers</t>
  </si>
  <si>
    <t>Penns Grove SA</t>
  </si>
  <si>
    <t>Pennsville STP</t>
  </si>
  <si>
    <t>Waddington Richman</t>
  </si>
  <si>
    <t>Harding Woods Inc.</t>
  </si>
  <si>
    <t>Daytop of New Jersey</t>
  </si>
  <si>
    <t>City of Salem STP</t>
  </si>
  <si>
    <t>Upper Pittsgrove Twp Elem. School</t>
  </si>
  <si>
    <t>Woodstown STP</t>
  </si>
  <si>
    <t>Lamington Farm</t>
  </si>
  <si>
    <t>Fiddler's Elbow Country Club</t>
  </si>
  <si>
    <t>Environmental Disposal Corp.</t>
  </si>
  <si>
    <t>Hamilton Farms Golf Club</t>
  </si>
  <si>
    <t>Bernards Tp. SA-Harrison Brook</t>
  </si>
  <si>
    <t>USVA Hostipal STP-Lyons</t>
  </si>
  <si>
    <t>Bernardsville Boro STP</t>
  </si>
  <si>
    <t>Somerset Raritan Valley SA</t>
  </si>
  <si>
    <t>Trap Rock Industries</t>
  </si>
  <si>
    <t>Hillsborough Chase</t>
  </si>
  <si>
    <t>Skillman Village</t>
  </si>
  <si>
    <t>Montogomery Twp Bd of Ed.</t>
  </si>
  <si>
    <t>Carrier Foundation</t>
  </si>
  <si>
    <t>Johnson and Johnson</t>
  </si>
  <si>
    <t>Montgomery Twp - STP #1</t>
  </si>
  <si>
    <t>Montgomery Twp - STP #2</t>
  </si>
  <si>
    <t>Mont Twp - Riverside Farm STP</t>
  </si>
  <si>
    <t>Pike Brook STP</t>
  </si>
  <si>
    <t>Oxbridge Treatment Plant</t>
  </si>
  <si>
    <t>Computer Associates</t>
  </si>
  <si>
    <t>Montgomery Twp/Cherry Valley</t>
  </si>
  <si>
    <t>Princeton Montessori School</t>
  </si>
  <si>
    <t>Convatech</t>
  </si>
  <si>
    <t>USVA Supply Depot</t>
  </si>
  <si>
    <t>Warren Twp SA - Stage II STP</t>
  </si>
  <si>
    <t>Warren Twp SA - Stage IV STP</t>
  </si>
  <si>
    <t>Warren Twp SA - Stage V STP</t>
  </si>
  <si>
    <t>Colorado Café</t>
  </si>
  <si>
    <t>Long Pond</t>
  </si>
  <si>
    <t>St. Paul's Abbey</t>
  </si>
  <si>
    <t>Andover Nursing Home</t>
  </si>
  <si>
    <t>Selective Insurance</t>
  </si>
  <si>
    <t>Franklin Mutual Insurance Co.</t>
  </si>
  <si>
    <t>Homestead</t>
  </si>
  <si>
    <t>Skylands Park</t>
  </si>
  <si>
    <t>Bear Brook Golf Village</t>
  </si>
  <si>
    <t>Big N Shopping Center</t>
  </si>
  <si>
    <t>Hampton Commons STP</t>
  </si>
  <si>
    <t>Sussex Co. MUA-Upper Wallkill</t>
  </si>
  <si>
    <t>Pope John XXIII Reg. High School</t>
  </si>
  <si>
    <t>Montaque Twp. OE</t>
  </si>
  <si>
    <t>Newton Municipal STP</t>
  </si>
  <si>
    <t>Kittantiny Regional Bd of Ed.</t>
  </si>
  <si>
    <t>Martin Property</t>
  </si>
  <si>
    <t>NJ School of Conservation</t>
  </si>
  <si>
    <t>Plaza STP</t>
  </si>
  <si>
    <t>Alpine School Sewage Plant</t>
  </si>
  <si>
    <t>Sussex Co. Vo-Tech High School</t>
  </si>
  <si>
    <t>Garden State Academy</t>
  </si>
  <si>
    <t>Vernon Twp High School</t>
  </si>
  <si>
    <t>Vernon Tp/Lounsb. Hollow School</t>
  </si>
  <si>
    <t>Great Gorge's Resort Hotel</t>
  </si>
  <si>
    <t>Clover Hill Manor</t>
  </si>
  <si>
    <t xml:space="preserve">Regency at Sussex Co. </t>
  </si>
  <si>
    <t>High Point Reg'l High School</t>
  </si>
  <si>
    <t>Berkeley Heights STP</t>
  </si>
  <si>
    <t>New Providence STP</t>
  </si>
  <si>
    <t>Jnt. Mtg. of Essex &amp; Union Co.</t>
  </si>
  <si>
    <t>Linden Roselle SA</t>
  </si>
  <si>
    <t>Rahway Valley SA</t>
  </si>
  <si>
    <t>Allamuchy STP</t>
  </si>
  <si>
    <t>Allamuchy Elementary School</t>
  </si>
  <si>
    <t>WC(PR)MUA-Belvidere Area STP</t>
  </si>
  <si>
    <t>Blair Academy STP</t>
  </si>
  <si>
    <t>North Warren Regional H.S. STP</t>
  </si>
  <si>
    <t>Great Atlantic and Pacific Tea</t>
  </si>
  <si>
    <t>Franklin Twp Elementary</t>
  </si>
  <si>
    <t>Warren County Technical School</t>
  </si>
  <si>
    <t>Forest Manor</t>
  </si>
  <si>
    <t>Little Hill Foundation</t>
  </si>
  <si>
    <t>Knowlton WWTP</t>
  </si>
  <si>
    <t>Pequest Fish Hatchery</t>
  </si>
  <si>
    <t>Liberty Twp Bd of Ed</t>
  </si>
  <si>
    <t>WC(PR)MUA - Oxford Area STP</t>
  </si>
  <si>
    <t>Phillipsburg STP</t>
  </si>
  <si>
    <t>hawk Pointe Golf Course</t>
  </si>
  <si>
    <t>Washington Boro</t>
  </si>
  <si>
    <t>Washington Twp Shopping Center</t>
  </si>
  <si>
    <t>380 Rt 57 LLC</t>
  </si>
  <si>
    <t>Oakwood Village STP</t>
  </si>
  <si>
    <t>Ancora State Physiciatric Hosp.</t>
  </si>
  <si>
    <t>It was assumed that sorghum, rye, corn for grain, and wheat all had alternative uses that had higher economic than bioenergy production, therefore none was available.</t>
  </si>
  <si>
    <t>30% cover requires 500 lbs of residues per acre</t>
  </si>
  <si>
    <t>30% cover requires 1000 lbs of residues per acre</t>
  </si>
  <si>
    <t>Does not require soil cover</t>
  </si>
  <si>
    <t xml:space="preserve">Collectibility is impacted by a 30% bare soil cover requirement with crop residue through winter.  Data for residue requirements was taken from USDA Agricultural Handbook 537.  Equations used can be found in the assumptions worksheet. </t>
  </si>
  <si>
    <t>Cellulosic (Enzymatic) Ethanol- Herbaceous Biomass</t>
  </si>
  <si>
    <t>Cellulosic (Enzymatic) Ethanol- Woody Biomass</t>
  </si>
  <si>
    <t>Cellulosic (Acid Hydrolysis) Ethanol- Woody Biomass</t>
  </si>
  <si>
    <t>Cellulosic (Acid Hydrolysis) Ethanol- Herbaceous Biomass</t>
  </si>
  <si>
    <t>Acid Hydrolysis</t>
  </si>
  <si>
    <t>Enzymatic Hydrolysis</t>
  </si>
  <si>
    <t>Enzymatic Hydrolysis Ethanol (Gallon/Dry Ton)</t>
  </si>
  <si>
    <t>Acid Hydrolysis Ethanol (Gallon/Dry Ton)</t>
  </si>
  <si>
    <t>Hemicellusose</t>
  </si>
  <si>
    <t>Hemicellulose</t>
  </si>
  <si>
    <t>Peterson, David and Scott Haase. Market Assessment of Biomass Gasification and Combustion for Small- and Medium-Scale Applications. NREL/TP-7A2-46190. July 2009. Accessed 9 Sept 2012. http://www.nrel.gov/analysis/pdfs/46190.pdf</t>
  </si>
  <si>
    <t>Biomass Technology Review. Prepared for the Biomass Power Association by McHale &amp; Associates, Inc. 21 Oct 2010. Accessed July 2012. http://www.usabiomass.org/docs/2010_10_20_Biomass_Technology_Review_Rev_1.pdf</t>
  </si>
  <si>
    <t>Biomass Technology Review. Prepared for the Biomass Power Association by McHale &amp; Associates, Inc. 21 Oct 2010. Accessed July 2012. http://www.usabiomass.org/docs/2010_10_20_Biomass_Technology_Review_Rev_1.pdf
(560.36 MW plant)</t>
  </si>
  <si>
    <t>Incineration - The Heating Power of Refuse. planete-energies.com. 6 Aug 2010. Accessed Aug 2012. http://www.planete-energies.com/en/energy-sources-/waste-recovery-/incineration-the-heating-power-of-refuse-102.html
Alternative Fuel Sources – Waste-to-Energy for Combined Heat and Power. Frontline Energy &amp; Environmental. Accessed Aug 2012. http://frontlineenergy.ie/whitepaper/pdf/AlternativeFuelSources.pdf http://www.environment-agency.gov.uk/static/documents/Business/Information_Pack_-_QA_(2).pdf</t>
  </si>
  <si>
    <t>Industry Standard
F. John Hay. Soybean as a Biofuel Feedstock. University of Nebraska-Lincoln. Accessed July 2012. http://cropwatch.unl.edu/web/bioenergy/14</t>
  </si>
  <si>
    <t>* Email from Mike Westendorf 9/7/12</t>
  </si>
  <si>
    <t>Industry Standard 
How Much Ethanol Can Come From Corn?. National Corn Growers Association. Accessed July 2012. http://www.micorn.org/downloads/How_Much_Ethanol_From_Corn.pdf
Mueller, Steffen. Detailed Report: 2008 National Dry Mill Corn Ethanol Survey. University of Illinois. 4 May 2010. Accessed 11 Sept 2012. http://www.ethanol.org/pdf/contentmgmt/Ethanol_production_efficiency_U_of_IL_spring_2010.pdf</t>
  </si>
  <si>
    <t>gas/elec</t>
  </si>
  <si>
    <t>elec/fla</t>
  </si>
  <si>
    <t>elec</t>
  </si>
  <si>
    <t>gas</t>
  </si>
  <si>
    <t>N/A</t>
  </si>
  <si>
    <t>fla</t>
  </si>
  <si>
    <t>New Jersey Generation, Disposal and Recycling Statistics: Final Report 2010. Solid and Hazardous Waste Management Program. NJDEP. Accessed 9 Oct 2012. http://www.state.nj.us/dep/dshw/recycling/stat_links/2010finalreport.pdf</t>
  </si>
  <si>
    <t>New Jersey Generation, Disposal and Recycling Statistics: Final Report 2010. Solid and Hazardous Waste Management Program. NJDEP. Accessed 10 Oct 2012. http://www.state.nj.us/dep/dshw/recycling/stat_links/2010finalreport.pdf</t>
  </si>
  <si>
    <t>Recycled Product</t>
  </si>
  <si>
    <t>Total MSW 2010</t>
  </si>
  <si>
    <t>2010 New Jersey Generation, Disposal and Recycling Statistics: By County. Solid and Hazardous Waste management Program. NJDEP. Accessed 6 Nov 2012. http://www.state.nj.us/dep/dshw/recycling/stat_links/10disposalrates.pdf</t>
  </si>
  <si>
    <t>2007 Bioenergy Calculator</t>
  </si>
  <si>
    <t>2012 Bioenergy Calculator</t>
  </si>
  <si>
    <t>Email/Contact Information</t>
  </si>
  <si>
    <t>Calculated by Joseph Davis MPA, Data Base Analyst 1 of NJDEP on November 9, 2012 (Source unknown). Only type 10 and 23 waste were counted (MSW classifications).</t>
  </si>
  <si>
    <t>Calculation : MSW Non-Recycled minus MSW Incinerated. See note on 'Biomass Data Assumptions' sheet cell I5 for more information.</t>
  </si>
  <si>
    <r>
      <t>2010 MSW to incineration</t>
    </r>
    <r>
      <rPr>
        <b/>
        <vertAlign val="superscript"/>
        <sz val="12"/>
        <color indexed="9"/>
        <rFont val="Arial"/>
        <family val="2"/>
      </rPr>
      <t>1</t>
    </r>
  </si>
  <si>
    <t>Report for years 2005 - 2010</t>
  </si>
  <si>
    <t xml:space="preserve">   New Jersey Generation, Disposal and Recycling Statistics: By County. Solid and Hazardous Waste management Program. NJDEP. Accessed 6 Nov 2012. http://www.nj.gov/dep/dshw/recycling/stats.htm</t>
  </si>
  <si>
    <t>2 LMOP data: New Jersey. EPA. Accessed 19 Sept 2012. http://www.epa.gov/lmop/projects-candidates/index.html#map-area</t>
  </si>
  <si>
    <t>Joseph Davis</t>
  </si>
  <si>
    <t>NJDEP - Data Base Analyst 1</t>
  </si>
  <si>
    <t>joseph.davis@dep.state.nj.us</t>
  </si>
  <si>
    <t>James Williams</t>
  </si>
  <si>
    <t>Warren County District Landfill - Director of Operations</t>
  </si>
  <si>
    <t>jwilliams@pcfawc.com</t>
  </si>
  <si>
    <t xml:space="preserve">    Data given by M. Aucott of NJDEP that was received 9/25/12</t>
  </si>
  <si>
    <t>1  Data given by Joseph Davis MPA, Data base Analyst 1 of NJDEP that was received 11/9/12</t>
  </si>
  <si>
    <t>Percent of Total Consumption</t>
  </si>
  <si>
    <t>Current Gross Quantity
(Dry Tons)</t>
  </si>
  <si>
    <t>Total Available Biomass
(Dry Tons)</t>
  </si>
  <si>
    <t>Grains (Energy Crops)</t>
  </si>
  <si>
    <t>Biomass (Residues)</t>
  </si>
  <si>
    <t>Gross (Tons)</t>
  </si>
  <si>
    <t>Gross MSW (Dry Tons)</t>
  </si>
  <si>
    <t>Total Yield
(Tons)</t>
  </si>
  <si>
    <t>Total Yield
(bushels)</t>
  </si>
  <si>
    <t>Total Recycled (as received, Tons)</t>
  </si>
  <si>
    <t>Total Recycled (Dry Tons)</t>
  </si>
  <si>
    <t>Annual Manure Production
(lbs)</t>
  </si>
  <si>
    <t>Total Manure plus Bedding
(Tons)</t>
  </si>
  <si>
    <t>Total Bedding
(Tons)</t>
  </si>
  <si>
    <t>Total Available Manure
(Tons)</t>
  </si>
  <si>
    <t>NJ Biomass Summary of Resources- Bergen</t>
  </si>
  <si>
    <t>Animal Units
(1000lbs)</t>
  </si>
  <si>
    <t>Current Net Energy Available
(MMBtu)</t>
  </si>
  <si>
    <t>Gallons of Gasoline Equivalent (GGE/Yr)</t>
  </si>
  <si>
    <t>Disposed</t>
  </si>
  <si>
    <t>Incinerated</t>
  </si>
  <si>
    <t>Landfilled</t>
  </si>
  <si>
    <t>Other Biomass</t>
  </si>
  <si>
    <t>% of MSW</t>
  </si>
  <si>
    <t>Biomass Waste in MSW (2010) (Tons)</t>
  </si>
  <si>
    <t>MSW DISPOSAL IN NEW JERSEY (Tons)</t>
  </si>
  <si>
    <t>Mintz, M., Han, J., Wang, M., et.al. Well-to-Wheel Analysis of Landfill Gas-Based Pathways and Their Addition to the GREET Model. Argonne National Laboratory. 30 June 2010. Accessed 27 Feb 2013. http://www.ipd.anl.gov/anlpubs/2010/06/67365.pdf</t>
  </si>
  <si>
    <t>Koop, K., Koper, M., Bĳ sma, R., Wonink, S., Ouwens, J.D., 2010. Evaluation of improvements in
end-conversion efficiency for bioenergy production. Accessed July 2012. http://ec.europa.eu/energy/renewables/bioenergy/doc/2010_02_25_report_conversion_efficiency.pdf</t>
  </si>
  <si>
    <t>Other Landfilled Biomass</t>
  </si>
  <si>
    <t>Calculated from: “2005 Annual Solid Waste Disposal Data”.  General percentages of MSW for food waste and other paper were applied to each county’s MSW to calculate total generated per county.</t>
  </si>
  <si>
    <t>Calculated from: Municipal Solid Waste. EPA. Accessed 1 Feb 2013. http://www.epa.gov/epawaste/nonhaz/municipal/index.htm. Used the Biomass portion percentage and applied to each county's MSW</t>
  </si>
  <si>
    <t>LFG Collected</t>
  </si>
  <si>
    <t>LFG Used</t>
  </si>
  <si>
    <t>LFG Available</t>
  </si>
  <si>
    <t>LFG Amount
(mmscfy)</t>
  </si>
  <si>
    <t>Electricity Generation Potential
(MWh/yr)</t>
  </si>
  <si>
    <t>Electricity Generated
(MWh/yr)</t>
  </si>
  <si>
    <t>Electricity Generation Potential (EGP) equation</t>
  </si>
  <si>
    <t>1000000 - conversion from mmscf to scf (multiply)</t>
  </si>
  <si>
    <t>(506/3412) - conversion of the energy content of LFG (assumed to be 506 Btu/scf) to kWh/scf by dividing by 3412 Btu/kWh (multiply)</t>
  </si>
  <si>
    <t>0.5 - fraction of methane in scf of LFG in scf (multiply)</t>
  </si>
  <si>
    <t>2000 - converting lbs to tons (divide)</t>
  </si>
  <si>
    <t>1000000 - converting previous number to kg/mmscf (multiply)</t>
  </si>
  <si>
    <t>2.20462 - converting kg to lbs (multiply)</t>
  </si>
  <si>
    <r>
      <t>MMTCO</t>
    </r>
    <r>
      <rPr>
        <vertAlign val="subscript"/>
        <sz val="9"/>
        <rFont val="Arial"/>
        <family val="2"/>
      </rPr>
      <t>2</t>
    </r>
    <r>
      <rPr>
        <sz val="9"/>
        <rFont val="Arial"/>
        <family val="2"/>
      </rPr>
      <t>E/yr = million standard cubic feet per day (mmscfd) of LFG utilized * 0.90 [gross capacity factor] * (365 days/year) *
(1E+06 standard cubic feet/million standard cubic feet) * (0.5 standard cubic feet methane/standard cubic foot landfill gas) *
(1,012 Btu/standard cubic foot methane) / (1,050 Btu/standard cubic foot natural gas) * (0.12059 pounds carbon dioxide/standard cubic foot natural gas) /
(2,000 pounds/short ton) * (0.9072 metric tons/short ton) / (1E+06 metric tons/million metric tons)</t>
    </r>
  </si>
  <si>
    <r>
      <t>tons CO</t>
    </r>
    <r>
      <rPr>
        <vertAlign val="subscript"/>
        <sz val="9"/>
        <rFont val="Arial"/>
        <family val="2"/>
      </rPr>
      <t>2</t>
    </r>
    <r>
      <rPr>
        <sz val="9"/>
        <rFont val="Arial"/>
        <family val="2"/>
      </rPr>
      <t>/yr = MMTCO</t>
    </r>
    <r>
      <rPr>
        <vertAlign val="subscript"/>
        <sz val="9"/>
        <rFont val="Arial"/>
        <family val="2"/>
      </rPr>
      <t>2</t>
    </r>
    <r>
      <rPr>
        <sz val="9"/>
        <rFont val="Arial"/>
        <family val="2"/>
      </rPr>
      <t>E/yr * (1E+06 metric tons/million metric tons) / (0.9072 metric tons/short ton)</t>
    </r>
  </si>
  <si>
    <t>Assumptions:</t>
  </si>
  <si>
    <t>1. Convert LFG HHV to MMBtu/scf</t>
  </si>
  <si>
    <t>506 Btu/scf * 1 MMBtu/1000000 Btu = 0.000506 MMBtu/scf</t>
  </si>
  <si>
    <t>2. Determine Carbon content</t>
  </si>
  <si>
    <t>0.000506 MMBtu/scf * 14.2 kg C/MMBtu * 1.0 = 0.0071852 kg C/scf</t>
  </si>
  <si>
    <t>Sources:</t>
  </si>
  <si>
    <t>Transportation Fuel Potential
(GGE/yr)</t>
  </si>
  <si>
    <t>Transportation Fuel Potential (TFP) equation</t>
  </si>
  <si>
    <t>CO2CG = D4*(0.00892*1.10231)</t>
  </si>
  <si>
    <t>Landfill Gas to Transportation Fuels</t>
  </si>
  <si>
    <t>1000 - conversion kWh to MWh (divide)</t>
  </si>
  <si>
    <t>CO2EPA = C5*0.9*1000000*0.5*(1012/1050)*0.12059/2000</t>
  </si>
  <si>
    <t>CO2OM = C5*(0.026345733333*1000000)*2.20462/2000</t>
  </si>
  <si>
    <t>506 - Energy Content of LFG (MMBtu/mmscf) (multiply)</t>
  </si>
  <si>
    <t>EGP = C5*1000000*(506/3412)*0.2916239/1000</t>
  </si>
  <si>
    <t>EGP = C4*113*6.25*0.2916239/1000</t>
  </si>
  <si>
    <t>1.10231 - conversion metric tons to short tons (1.10231 short tons/metric ton) (multiply)</t>
  </si>
  <si>
    <t>1000 - converting kWh to MWh (divide)</t>
  </si>
  <si>
    <t>Food Waste to Transportation Fuels</t>
  </si>
  <si>
    <t>TFP = (C4*0.3)*16*4.8</t>
  </si>
  <si>
    <t>Serpil Guran</t>
  </si>
  <si>
    <t>guran@aesop.rutgers.edu</t>
  </si>
  <si>
    <t>NJAES, Assistant Director, Rutgers EcoComplex</t>
  </si>
  <si>
    <t>Chris Sipos</t>
  </si>
  <si>
    <t>Brett Cowan</t>
  </si>
  <si>
    <t>John Barron</t>
  </si>
  <si>
    <t>609-465-9026</t>
  </si>
  <si>
    <t>Gary Conover</t>
  </si>
  <si>
    <t>gconover@acua.com</t>
  </si>
  <si>
    <t>Martin Ryan</t>
  </si>
  <si>
    <t>Burlington County - Solid Waste Coordinator</t>
  </si>
  <si>
    <t>Cape May County MUA - Deputy Director</t>
  </si>
  <si>
    <t>ACUA - Solid Waste Director</t>
  </si>
  <si>
    <t>Ocean County Landfill Corporation - Engineering VP</t>
  </si>
  <si>
    <t>mryan@cjhesse.com</t>
  </si>
  <si>
    <t>John Londres</t>
  </si>
  <si>
    <t>PCFA of Camden County - Deputy Director</t>
  </si>
  <si>
    <t>856-665-8787</t>
  </si>
  <si>
    <t>Eric Peterson</t>
  </si>
  <si>
    <t>SCS Engineers - Vice President</t>
  </si>
  <si>
    <t>609-654-4000</t>
  </si>
  <si>
    <t>Robert Leslie</t>
  </si>
  <si>
    <t>rlesliemcua@comcast.net</t>
  </si>
  <si>
    <t>MCUA - Solid Waste Division</t>
  </si>
  <si>
    <t>COP = C4*113*(1/0.0283168)*603.85/1000000*14.2*(44/12)*2.20462/2000</t>
  </si>
  <si>
    <t>Carbon Dioxide Emissions</t>
  </si>
  <si>
    <t>(1/0.0283168) - converting normal cubic meters to cubic feet (multiply)</t>
  </si>
  <si>
    <t>603.8 Btu/scf * 1 MMBtu/1000000 Btu = 0.0006038 MMBtu/scf</t>
  </si>
  <si>
    <t>0.0006038 MMBtu/scf * 14.2 kg C/MMBtu * 1.0 = 0.0085748 kg C/scf</t>
  </si>
  <si>
    <t>Enos Martin</t>
  </si>
  <si>
    <t>PPL Renewable Energy LLC - Asset Manager</t>
  </si>
  <si>
    <t>610-774-4164</t>
  </si>
  <si>
    <t>OVPED - Senior Program Manager</t>
  </si>
  <si>
    <t>NOTE: If you choose Poplar or Switchgrass, please select the crops you would like to convert</t>
  </si>
  <si>
    <t>Yard waste (collected)</t>
  </si>
  <si>
    <t>bcowan343@gmail.com</t>
  </si>
  <si>
    <t>EcoComplex Student Intern</t>
  </si>
  <si>
    <t>Joe Sziveri</t>
  </si>
  <si>
    <t>Montauk Energy - Facility Manager</t>
  </si>
  <si>
    <t>732-922-3733</t>
  </si>
  <si>
    <t xml:space="preserve"> = previous information that needs to be updated. New LFG used statistic (not listed) exceeds LFG collected statistic, so awaiting realistic estimate for LFG collected in Monmouth</t>
  </si>
  <si>
    <t xml:space="preserve"> = number based on weighted average of other county's LFG amount used and electricity generated, awaiting realistic statistic from respective counties</t>
  </si>
  <si>
    <t>Direct Combustion-ADG/Landfill Gas
(MMBtu/MWh)</t>
  </si>
  <si>
    <t>Transesterification
(Gallon/Ton)</t>
  </si>
  <si>
    <t>Direct Combustion-Stand Alone for Solid Biomass
(MMBtu/MWh)</t>
  </si>
  <si>
    <t>Direct Combustion-Small Scale CHP for Solid Biomass
(MMBtu/MWh)</t>
  </si>
  <si>
    <t>Direct Combustion--Co-Firing
(MMBtu/MWh)</t>
  </si>
  <si>
    <t>Gasification- Stand Alone BIGCC
(MMBtu/MWh)</t>
  </si>
  <si>
    <t>Gasification- Small Scale CHP
(MMBtu/MWh)</t>
  </si>
  <si>
    <t>Pyrolysis
(MMBtu/MWh)</t>
  </si>
  <si>
    <t>Gasification-F-T
(Gallon/Dry Ton)</t>
  </si>
  <si>
    <t>AD/Landfill Gas to Transportation Fuel
(GGE/Dry Ton)</t>
  </si>
  <si>
    <t>Product Yield
(Gallon/Dry Ton)</t>
  </si>
  <si>
    <t>Heat Rate
(MMBtu/MWh)</t>
  </si>
  <si>
    <t>Pineland Park</t>
  </si>
  <si>
    <t>Bergen County Utilities Authority Kingsland</t>
  </si>
  <si>
    <t>HMDC 1-E, Balefill 1C</t>
  </si>
  <si>
    <t>Landfill</t>
  </si>
  <si>
    <t>L &amp; D Mt. Holly</t>
  </si>
  <si>
    <t>SLF Inc.</t>
  </si>
  <si>
    <t>Pennsauken</t>
  </si>
  <si>
    <t>Edgeboro</t>
  </si>
  <si>
    <t>Edison Disposal Area</t>
  </si>
  <si>
    <t>ILR</t>
  </si>
  <si>
    <t>Rec Ctr PH I</t>
  </si>
  <si>
    <t>Rec Ctr PH II</t>
  </si>
  <si>
    <t>Rec Ctr PH III</t>
  </si>
  <si>
    <t>Cape May County SLF</t>
  </si>
  <si>
    <t>Cumberland County SLF</t>
  </si>
  <si>
    <t>Middlesex County SLF</t>
  </si>
  <si>
    <t>Ocean County LF</t>
  </si>
  <si>
    <t>Salem County SLF</t>
  </si>
  <si>
    <t>Kingsley's LF</t>
  </si>
  <si>
    <t>Hamms LF</t>
  </si>
  <si>
    <t>Sussex County LF 1-E</t>
  </si>
  <si>
    <t>Warren County Regional</t>
  </si>
  <si>
    <t>Electricity, Direct</t>
  </si>
  <si>
    <t>Electricity, Flare</t>
  </si>
  <si>
    <t>Gas management</t>
  </si>
  <si>
    <t>Capacity of project
(MW)</t>
  </si>
  <si>
    <t>Gloucester County SLF</t>
  </si>
  <si>
    <t>Estimated LFG collected
(mmscfy)</t>
  </si>
  <si>
    <t>LFG flared
(mmscfy)</t>
  </si>
  <si>
    <t xml:space="preserve"> NJ Total Consumption</t>
  </si>
  <si>
    <r>
      <rPr>
        <b/>
        <sz val="10"/>
        <rFont val="Arial"/>
        <family val="2"/>
      </rPr>
      <t>1</t>
    </r>
    <r>
      <rPr>
        <sz val="10"/>
        <rFont val="Arial"/>
        <family val="2"/>
      </rPr>
      <t xml:space="preserve">  New Jersey State Electricity Profile 2010. EIA. 30 Jan 2012. Accessed 14 Nov 2012. http://www.eia.gov/electricity/state/newjersey/</t>
    </r>
  </si>
  <si>
    <r>
      <rPr>
        <b/>
        <sz val="10"/>
        <rFont val="Arial"/>
        <family val="2"/>
      </rPr>
      <t>2</t>
    </r>
    <r>
      <rPr>
        <sz val="10"/>
        <rFont val="Arial"/>
        <family val="2"/>
      </rPr>
      <t xml:space="preserve"> New Jersey: State Profile and Energy Estimates. EIA. 18 Oct 2012. Accessed 14 Nov 2012. http://www.eia.gov/beta/state/data.cfm?sid=NJ#Consumption</t>
    </r>
  </si>
  <si>
    <t>LFG flow to energy generation
(mmscfy)</t>
  </si>
  <si>
    <t>Fuel Yield Assumptions (same as version 1)</t>
  </si>
  <si>
    <r>
      <t>Avoided Equivalent Emissions Reduced Calculations for Direct-Use Projects</t>
    </r>
    <r>
      <rPr>
        <b/>
        <vertAlign val="superscript"/>
        <sz val="9"/>
        <rFont val="Arial"/>
        <family val="2"/>
      </rPr>
      <t>2</t>
    </r>
    <r>
      <rPr>
        <b/>
        <sz val="9"/>
        <rFont val="Arial"/>
        <family val="2"/>
      </rPr>
      <t>:</t>
    </r>
  </si>
  <si>
    <t>Lynn Schmidt</t>
  </si>
  <si>
    <t>Salem County Landfill - Site Manager</t>
  </si>
  <si>
    <t>lschmidt@scianj.org</t>
  </si>
  <si>
    <t>Transportation Fuel Potential
(DGE/yr)</t>
  </si>
  <si>
    <t>Transportation Fuel Potential Diesel (TFPD) equation</t>
  </si>
  <si>
    <t>TFP = C6*506*7.2</t>
  </si>
  <si>
    <t>CO2EPA = C6*0.9*1000000*0.5*(1012/1050)*0.12059/2000</t>
  </si>
  <si>
    <t>CO2OM = 0.026345733333*1000000*C6*2.20462/2000</t>
  </si>
  <si>
    <t>CO2CG = D6*(0.00892*1.10231)</t>
  </si>
  <si>
    <t>TFPD = D6*(1/1.136)</t>
  </si>
  <si>
    <t>Jack Whitman</t>
  </si>
  <si>
    <t>Edgeboro International, Inc. - Vice President</t>
  </si>
  <si>
    <t>jswhitman@edgeboro.com</t>
  </si>
  <si>
    <t xml:space="preserve">Wood Composition percentage given by Guy Watson, Bureau Chief of the Bureau of Recycling and Planning, on 5/21/13 </t>
  </si>
  <si>
    <t>Guy Watson</t>
  </si>
  <si>
    <t>Guy.Watson@dep.state.nj.us</t>
  </si>
  <si>
    <t>Total Sludge Production</t>
  </si>
  <si>
    <r>
      <t>LFG Estimates</t>
    </r>
    <r>
      <rPr>
        <b/>
        <vertAlign val="superscript"/>
        <sz val="12"/>
        <color indexed="9"/>
        <rFont val="Arial"/>
        <family val="2"/>
      </rPr>
      <t>2</t>
    </r>
    <r>
      <rPr>
        <b/>
        <sz val="12"/>
        <color indexed="9"/>
        <rFont val="Arial"/>
        <family val="2"/>
      </rPr>
      <t xml:space="preserve"> (mmscfy)</t>
    </r>
  </si>
  <si>
    <t>Net Biosolids Available</t>
  </si>
  <si>
    <t>3 Sewage Sludge Production by Management Mode (2011). Bureau of Pretreatment and Residuals. NJDEP. 25 Jan 2013. Accessed 22 May 2013. &lt;http://www.nj.gov/dep/dwq/sludge.htm&gt;.</t>
  </si>
  <si>
    <r>
      <t>Sorghum</t>
    </r>
    <r>
      <rPr>
        <b/>
        <vertAlign val="superscript"/>
        <sz val="10"/>
        <rFont val="Arial"/>
        <family val="2"/>
      </rPr>
      <t>4</t>
    </r>
  </si>
  <si>
    <r>
      <t>Rye</t>
    </r>
    <r>
      <rPr>
        <b/>
        <vertAlign val="superscript"/>
        <sz val="10"/>
        <rFont val="Arial"/>
        <family val="2"/>
      </rPr>
      <t>4</t>
    </r>
  </si>
  <si>
    <t>4 USDA Crop Production Summary. Accessed August 2011. http://usda01.library.cornell.edu/usda/current/CropProdSu/CropProdSu-01-12-2012.pdf</t>
  </si>
  <si>
    <r>
      <t>Food Waste</t>
    </r>
    <r>
      <rPr>
        <vertAlign val="superscript"/>
        <sz val="10"/>
        <rFont val="Arial"/>
        <family val="2"/>
      </rPr>
      <t>5</t>
    </r>
  </si>
  <si>
    <r>
      <t>Paper Waste</t>
    </r>
    <r>
      <rPr>
        <vertAlign val="superscript"/>
        <sz val="10"/>
        <rFont val="Arial"/>
        <family val="2"/>
      </rPr>
      <t>6</t>
    </r>
  </si>
  <si>
    <r>
      <t>Total Biomass</t>
    </r>
    <r>
      <rPr>
        <vertAlign val="superscript"/>
        <sz val="10"/>
        <rFont val="Arial"/>
        <family val="2"/>
      </rPr>
      <t>7</t>
    </r>
  </si>
  <si>
    <t>5 Percentage given by Priscilla Hayes, Materials Management and Educational Consultant</t>
  </si>
  <si>
    <t>6 Percentage given by Ray Worob of NJDEP</t>
  </si>
  <si>
    <t>7 Municipal Solid Waste. EPA. Accessed 1 Feb 2013. http://www.epa.gov/epawaste/nonhaz/municipal/index.htm</t>
  </si>
  <si>
    <t>8 U.S. Census Bureau: Population Estimates. Accessed  Nov 2012. http://www.census.gov/popest/data/historical/2000s/index.html</t>
  </si>
  <si>
    <t>Manure Production (lbs/year/unit)</t>
  </si>
  <si>
    <t>Availablity Factor</t>
  </si>
  <si>
    <t>Bedding/ Animal/Day (lbs)</t>
  </si>
  <si>
    <t>Biosolids to Power - Electricity Production</t>
  </si>
  <si>
    <t>Biosolids Amount
(dry tons/yr)</t>
  </si>
  <si>
    <r>
      <t>0.2916239 - weighted average efficiency for engines, gas turbines, and boiler/steam turbines</t>
    </r>
    <r>
      <rPr>
        <vertAlign val="superscript"/>
        <sz val="9"/>
        <color theme="1"/>
        <rFont val="Arial"/>
        <family val="2"/>
      </rPr>
      <t>1</t>
    </r>
    <r>
      <rPr>
        <sz val="9"/>
        <color theme="1"/>
        <rFont val="Arial"/>
        <family val="2"/>
      </rPr>
      <t xml:space="preserve"> (attained by dividing 3412 Btu/kWh by the given 11,700 Btu/kWh) (multiply)</t>
    </r>
  </si>
  <si>
    <r>
      <t>Potential CO</t>
    </r>
    <r>
      <rPr>
        <u/>
        <vertAlign val="subscript"/>
        <sz val="9"/>
        <color theme="1"/>
        <rFont val="Arial"/>
        <family val="2"/>
      </rPr>
      <t>2</t>
    </r>
    <r>
      <rPr>
        <u/>
        <sz val="9"/>
        <color theme="1"/>
        <rFont val="Arial"/>
        <family val="2"/>
      </rPr>
      <t xml:space="preserve"> Produced: EPA (CO2EPA) equation*</t>
    </r>
  </si>
  <si>
    <t>0.9 - gross capacity factor (multiply)</t>
  </si>
  <si>
    <t>(1012/1050) - energy content ratio between methane (1012 Btu/scf) and natural gas (1050 Btu/scf) (multiply)</t>
  </si>
  <si>
    <t>0.12059 - pounds of carbon dioxide per scf of natural gas (multiply)</t>
  </si>
  <si>
    <r>
      <t>Potential CO</t>
    </r>
    <r>
      <rPr>
        <u/>
        <vertAlign val="subscript"/>
        <sz val="9"/>
        <color theme="1"/>
        <rFont val="Arial"/>
        <family val="2"/>
      </rPr>
      <t>2</t>
    </r>
    <r>
      <rPr>
        <u/>
        <sz val="9"/>
        <color theme="1"/>
        <rFont val="Arial"/>
        <family val="2"/>
      </rPr>
      <t xml:space="preserve"> Produced: Other (CO2OM) equation</t>
    </r>
  </si>
  <si>
    <r>
      <t>0.026345733333 - amount of CO</t>
    </r>
    <r>
      <rPr>
        <vertAlign val="subscript"/>
        <sz val="9"/>
        <color theme="1"/>
        <rFont val="Arial"/>
        <family val="2"/>
      </rPr>
      <t>2</t>
    </r>
    <r>
      <rPr>
        <sz val="9"/>
        <color theme="1"/>
        <rFont val="Arial"/>
        <family val="2"/>
      </rPr>
      <t xml:space="preserve"> in kg in one scf of landfill gas** (multiply)</t>
    </r>
  </si>
  <si>
    <r>
      <t>*Equation used to calculate CO</t>
    </r>
    <r>
      <rPr>
        <vertAlign val="subscript"/>
        <sz val="9"/>
        <color theme="1"/>
        <rFont val="Arial"/>
        <family val="2"/>
      </rPr>
      <t>2</t>
    </r>
    <r>
      <rPr>
        <sz val="9"/>
        <color theme="1"/>
        <rFont val="Arial"/>
        <family val="2"/>
      </rPr>
      <t xml:space="preserve"> produced is that of EPA's (below) for MMTCO2E/yr, but without the last two conversions in order to keep it in tons CO</t>
    </r>
    <r>
      <rPr>
        <vertAlign val="subscript"/>
        <sz val="9"/>
        <color theme="1"/>
        <rFont val="Arial"/>
        <family val="2"/>
      </rPr>
      <t>2</t>
    </r>
    <r>
      <rPr>
        <sz val="9"/>
        <color theme="1"/>
        <rFont val="Arial"/>
        <family val="2"/>
      </rPr>
      <t>/yr</t>
    </r>
  </si>
  <si>
    <r>
      <t>**Process used to determine amount of CO</t>
    </r>
    <r>
      <rPr>
        <vertAlign val="subscript"/>
        <sz val="9"/>
        <color theme="1"/>
        <rFont val="Arial"/>
        <family val="2"/>
      </rPr>
      <t>2</t>
    </r>
    <r>
      <rPr>
        <sz val="9"/>
        <color theme="1"/>
        <rFont val="Arial"/>
        <family val="2"/>
      </rPr>
      <t xml:space="preserve"> (kg) in landfill gas</t>
    </r>
    <r>
      <rPr>
        <vertAlign val="superscript"/>
        <sz val="9"/>
        <color theme="1"/>
        <rFont val="Arial"/>
        <family val="2"/>
      </rPr>
      <t>3</t>
    </r>
    <r>
      <rPr>
        <sz val="9"/>
        <color theme="1"/>
        <rFont val="Arial"/>
        <family val="2"/>
      </rPr>
      <t xml:space="preserve"> (scf) (An example calculation is shown on page 6 of source):</t>
    </r>
  </si>
  <si>
    <r>
      <t xml:space="preserve"> LFG content of 50% CH</t>
    </r>
    <r>
      <rPr>
        <vertAlign val="subscript"/>
        <sz val="9"/>
        <color theme="1"/>
        <rFont val="Arial"/>
        <family val="2"/>
      </rPr>
      <t>4</t>
    </r>
    <r>
      <rPr>
        <sz val="9"/>
        <color theme="1"/>
        <rFont val="Arial"/>
        <family val="2"/>
      </rPr>
      <t xml:space="preserve"> and 50% CO</t>
    </r>
    <r>
      <rPr>
        <vertAlign val="subscript"/>
        <sz val="9"/>
        <color theme="1"/>
        <rFont val="Arial"/>
        <family val="2"/>
      </rPr>
      <t>2</t>
    </r>
    <r>
      <rPr>
        <sz val="9"/>
        <color theme="1"/>
        <rFont val="Arial"/>
        <family val="2"/>
      </rPr>
      <t>, LFG HHV = 506 Btu/scf, Carbon Content Coefficient = 14.2 kg C(carbon)/MMBtu, Fraction Oxidized = 1</t>
    </r>
  </si>
  <si>
    <r>
      <t>3. Determine CO</t>
    </r>
    <r>
      <rPr>
        <vertAlign val="subscript"/>
        <sz val="9"/>
        <color theme="1"/>
        <rFont val="Arial"/>
        <family val="2"/>
      </rPr>
      <t>2</t>
    </r>
    <r>
      <rPr>
        <sz val="9"/>
        <color theme="1"/>
        <rFont val="Arial"/>
        <family val="2"/>
      </rPr>
      <t xml:space="preserve"> emissions by molar fraction</t>
    </r>
  </si>
  <si>
    <r>
      <t>0.0071852 kg C/scf * (44 kg CO</t>
    </r>
    <r>
      <rPr>
        <vertAlign val="subscript"/>
        <sz val="9"/>
        <color theme="1"/>
        <rFont val="Arial"/>
        <family val="2"/>
      </rPr>
      <t>2</t>
    </r>
    <r>
      <rPr>
        <sz val="9"/>
        <color theme="1"/>
        <rFont val="Arial"/>
        <family val="2"/>
      </rPr>
      <t>/12 kg C) = 0.026345733333 kg CO</t>
    </r>
    <r>
      <rPr>
        <vertAlign val="subscript"/>
        <sz val="9"/>
        <color theme="1"/>
        <rFont val="Arial"/>
        <family val="2"/>
      </rPr>
      <t>2</t>
    </r>
    <r>
      <rPr>
        <sz val="9"/>
        <color theme="1"/>
        <rFont val="Arial"/>
        <family val="2"/>
      </rPr>
      <t>/scf</t>
    </r>
  </si>
  <si>
    <r>
      <t>Note: This method, as well as the EPA Calculator, only considers the CO</t>
    </r>
    <r>
      <rPr>
        <vertAlign val="subscript"/>
        <sz val="9"/>
        <color theme="1"/>
        <rFont val="Arial"/>
        <family val="2"/>
      </rPr>
      <t>2</t>
    </r>
    <r>
      <rPr>
        <sz val="9"/>
        <color theme="1"/>
        <rFont val="Arial"/>
        <family val="2"/>
      </rPr>
      <t xml:space="preserve"> produced from the methane portion of the LFG. The CO</t>
    </r>
    <r>
      <rPr>
        <vertAlign val="subscript"/>
        <sz val="9"/>
        <color theme="1"/>
        <rFont val="Arial"/>
        <family val="2"/>
      </rPr>
      <t>2</t>
    </r>
    <r>
      <rPr>
        <sz val="9"/>
        <color theme="1"/>
        <rFont val="Arial"/>
        <family val="2"/>
      </rPr>
      <t xml:space="preserve"> portion of LFG is deemed as naturally occurring and does not add to greenhouse gas emissions</t>
    </r>
  </si>
  <si>
    <r>
      <rPr>
        <vertAlign val="superscript"/>
        <sz val="9"/>
        <color theme="1"/>
        <rFont val="Arial"/>
        <family val="2"/>
      </rPr>
      <t>1</t>
    </r>
    <r>
      <rPr>
        <sz val="9"/>
        <color theme="1"/>
        <rFont val="Arial"/>
        <family val="2"/>
      </rPr>
      <t xml:space="preserve"> CO</t>
    </r>
    <r>
      <rPr>
        <vertAlign val="subscript"/>
        <sz val="9"/>
        <color theme="1"/>
        <rFont val="Arial"/>
        <family val="2"/>
      </rPr>
      <t>2</t>
    </r>
    <r>
      <rPr>
        <sz val="9"/>
        <color theme="1"/>
        <rFont val="Arial"/>
        <family val="2"/>
      </rPr>
      <t xml:space="preserve"> Emissions Rates of Marginal Units and Average CO</t>
    </r>
    <r>
      <rPr>
        <vertAlign val="subscript"/>
        <sz val="9"/>
        <color theme="1"/>
        <rFont val="Arial"/>
        <family val="2"/>
      </rPr>
      <t>2</t>
    </r>
    <r>
      <rPr>
        <sz val="9"/>
        <color theme="1"/>
        <rFont val="Arial"/>
        <family val="2"/>
      </rPr>
      <t xml:space="preserve"> Emissions Rates. PJM. 2009. Accessed 15 May 2013. &lt;http://www.pjm.com/Home/markets-and-operations/~/media/documents/reports/co2-emissions-report.ashx&gt;</t>
    </r>
  </si>
  <si>
    <r>
      <rPr>
        <vertAlign val="superscript"/>
        <sz val="9"/>
        <color theme="1"/>
        <rFont val="Arial"/>
        <family val="2"/>
      </rPr>
      <t>2</t>
    </r>
    <r>
      <rPr>
        <sz val="9"/>
        <color theme="1"/>
        <rFont val="Arial"/>
        <family val="2"/>
      </rPr>
      <t xml:space="preserve"> Emission Reductions and Environmental and Energy Benefits for Landfill Gas Energy Projects. LMOP. Accessed Feb 2013. &lt;http://www.epa.gov/lmop/projects-candidates/lfge-calculator.html&gt;</t>
    </r>
  </si>
  <si>
    <r>
      <rPr>
        <vertAlign val="superscript"/>
        <sz val="9"/>
        <color theme="1"/>
        <rFont val="Arial"/>
        <family val="2"/>
      </rPr>
      <t>3</t>
    </r>
    <r>
      <rPr>
        <sz val="9"/>
        <color theme="1"/>
        <rFont val="Arial"/>
        <family val="2"/>
      </rPr>
      <t xml:space="preserve"> Direct Emissions from Stationary Combustion Sources. EPA. May 2008. Accessed Feb 2013. &lt;http://www.epa.gov/climateleadership/documents/resources/stationarycombustionguidance.pdf&gt;</t>
    </r>
  </si>
  <si>
    <r>
      <t>Potential CO</t>
    </r>
    <r>
      <rPr>
        <b/>
        <vertAlign val="subscript"/>
        <sz val="10"/>
        <color theme="0"/>
        <rFont val="Arial"/>
        <family val="2"/>
      </rPr>
      <t>2</t>
    </r>
    <r>
      <rPr>
        <b/>
        <sz val="10"/>
        <color theme="0"/>
        <rFont val="Arial"/>
        <family val="2"/>
      </rPr>
      <t xml:space="preserve"> Produced: EPA Calculator Method
(tons/yr)</t>
    </r>
  </si>
  <si>
    <r>
      <t>Potential CO</t>
    </r>
    <r>
      <rPr>
        <b/>
        <vertAlign val="subscript"/>
        <sz val="10"/>
        <color theme="0"/>
        <rFont val="Arial"/>
        <family val="2"/>
      </rPr>
      <t>2</t>
    </r>
    <r>
      <rPr>
        <b/>
        <sz val="10"/>
        <color theme="0"/>
        <rFont val="Arial"/>
        <family val="2"/>
      </rPr>
      <t xml:space="preserve"> Produced: Other method 
(tons/yr)</t>
    </r>
  </si>
  <si>
    <r>
      <t>Potential CO</t>
    </r>
    <r>
      <rPr>
        <b/>
        <vertAlign val="subscript"/>
        <sz val="10"/>
        <color theme="0"/>
        <rFont val="Arial"/>
        <family val="2"/>
      </rPr>
      <t>2</t>
    </r>
    <r>
      <rPr>
        <b/>
        <sz val="10"/>
        <color theme="0"/>
        <rFont val="Arial"/>
        <family val="2"/>
      </rPr>
      <t xml:space="preserve"> Displaced</t>
    </r>
    <r>
      <rPr>
        <b/>
        <vertAlign val="superscript"/>
        <sz val="10"/>
        <color theme="0"/>
        <rFont val="Arial"/>
        <family val="2"/>
      </rPr>
      <t>1</t>
    </r>
    <r>
      <rPr>
        <b/>
        <sz val="10"/>
        <color theme="0"/>
        <rFont val="Arial"/>
        <family val="2"/>
      </rPr>
      <t xml:space="preserve">
(tons/yr)</t>
    </r>
  </si>
  <si>
    <r>
      <t>Potential CO</t>
    </r>
    <r>
      <rPr>
        <b/>
        <vertAlign val="subscript"/>
        <sz val="10"/>
        <color theme="0"/>
        <rFont val="Arial"/>
        <family val="2"/>
      </rPr>
      <t>2</t>
    </r>
    <r>
      <rPr>
        <b/>
        <sz val="10"/>
        <color theme="0"/>
        <rFont val="Arial"/>
        <family val="2"/>
      </rPr>
      <t xml:space="preserve"> Produced: Other method
(tons/yr)</t>
    </r>
  </si>
  <si>
    <r>
      <t>Potential CO</t>
    </r>
    <r>
      <rPr>
        <b/>
        <vertAlign val="subscript"/>
        <sz val="10"/>
        <color theme="0"/>
        <rFont val="Arial"/>
        <family val="2"/>
      </rPr>
      <t>2</t>
    </r>
    <r>
      <rPr>
        <b/>
        <sz val="10"/>
        <color theme="0"/>
        <rFont val="Arial"/>
        <family val="2"/>
      </rPr>
      <t xml:space="preserve"> Displaced
(tons/yr)</t>
    </r>
  </si>
  <si>
    <r>
      <t>Potential CO</t>
    </r>
    <r>
      <rPr>
        <b/>
        <vertAlign val="subscript"/>
        <sz val="10"/>
        <color theme="0"/>
        <rFont val="Arial"/>
        <family val="2"/>
      </rPr>
      <t>2</t>
    </r>
    <r>
      <rPr>
        <b/>
        <sz val="10"/>
        <color theme="0"/>
        <rFont val="Arial"/>
        <family val="2"/>
      </rPr>
      <t xml:space="preserve"> Produced: My method
(tons/yr)</t>
    </r>
  </si>
  <si>
    <r>
      <t>Note: the difference between the other method's CO</t>
    </r>
    <r>
      <rPr>
        <vertAlign val="subscript"/>
        <sz val="9"/>
        <color theme="1"/>
        <rFont val="Arial"/>
        <family val="2"/>
      </rPr>
      <t>2</t>
    </r>
    <r>
      <rPr>
        <sz val="9"/>
        <color theme="1"/>
        <rFont val="Arial"/>
        <family val="2"/>
      </rPr>
      <t xml:space="preserve"> production and that of the EPA calculator is 11.05%, which can easily be explained by the calculator's use of a 0.9 gross capacity factor</t>
    </r>
  </si>
  <si>
    <r>
      <t>7.2 - Transportation fuel production (GGE) per MMBtu</t>
    </r>
    <r>
      <rPr>
        <vertAlign val="superscript"/>
        <sz val="9"/>
        <color theme="1"/>
        <rFont val="Arial"/>
        <family val="2"/>
      </rPr>
      <t>1</t>
    </r>
    <r>
      <rPr>
        <sz val="9"/>
        <color theme="1"/>
        <rFont val="Arial"/>
        <family val="2"/>
      </rPr>
      <t xml:space="preserve"> (multiply)</t>
    </r>
  </si>
  <si>
    <r>
      <t>(1/1.136) - converting GGE to DGE, 1 DGE = 1.136 GGE</t>
    </r>
    <r>
      <rPr>
        <vertAlign val="superscript"/>
        <sz val="9"/>
        <color theme="1"/>
        <rFont val="Arial"/>
        <family val="2"/>
      </rPr>
      <t xml:space="preserve">2 </t>
    </r>
    <r>
      <rPr>
        <sz val="9"/>
        <color theme="1"/>
        <rFont val="Arial"/>
        <family val="2"/>
      </rPr>
      <t>(multiply)</t>
    </r>
  </si>
  <si>
    <r>
      <t>Potential CO</t>
    </r>
    <r>
      <rPr>
        <u/>
        <vertAlign val="subscript"/>
        <sz val="9"/>
        <color theme="1"/>
        <rFont val="Arial"/>
        <family val="2"/>
      </rPr>
      <t>2</t>
    </r>
    <r>
      <rPr>
        <u/>
        <sz val="9"/>
        <color theme="1"/>
        <rFont val="Arial"/>
        <family val="2"/>
      </rPr>
      <t xml:space="preserve"> Produced: convential gasoline (CO2CG) equation</t>
    </r>
  </si>
  <si>
    <r>
      <t>0.00892 - metric tons of CO</t>
    </r>
    <r>
      <rPr>
        <vertAlign val="subscript"/>
        <sz val="9"/>
        <color theme="1"/>
        <rFont val="Arial"/>
        <family val="2"/>
      </rPr>
      <t>2</t>
    </r>
    <r>
      <rPr>
        <sz val="9"/>
        <color theme="1"/>
        <rFont val="Arial"/>
        <family val="2"/>
      </rPr>
      <t xml:space="preserve"> per gallon of gasoline</t>
    </r>
    <r>
      <rPr>
        <vertAlign val="superscript"/>
        <sz val="9"/>
        <color theme="1"/>
        <rFont val="Arial"/>
        <family val="2"/>
      </rPr>
      <t>3</t>
    </r>
    <r>
      <rPr>
        <sz val="9"/>
        <color theme="1"/>
        <rFont val="Arial"/>
        <family val="2"/>
      </rPr>
      <t xml:space="preserve"> (multiply)</t>
    </r>
  </si>
  <si>
    <r>
      <t>Avoided Equivalent Emissions Reduced Calculations for Direct-Use Projects</t>
    </r>
    <r>
      <rPr>
        <b/>
        <vertAlign val="superscript"/>
        <sz val="9"/>
        <rFont val="Arial"/>
        <family val="2"/>
      </rPr>
      <t>4</t>
    </r>
    <r>
      <rPr>
        <b/>
        <sz val="9"/>
        <rFont val="Arial"/>
        <family val="2"/>
      </rPr>
      <t>:</t>
    </r>
  </si>
  <si>
    <r>
      <t>**Process used to determine amount of CO</t>
    </r>
    <r>
      <rPr>
        <vertAlign val="subscript"/>
        <sz val="9"/>
        <color theme="1"/>
        <rFont val="Arial"/>
        <family val="2"/>
      </rPr>
      <t>2</t>
    </r>
    <r>
      <rPr>
        <sz val="9"/>
        <color theme="1"/>
        <rFont val="Arial"/>
        <family val="2"/>
      </rPr>
      <t xml:space="preserve"> (kg) in landfill gas</t>
    </r>
    <r>
      <rPr>
        <vertAlign val="superscript"/>
        <sz val="9"/>
        <color theme="1"/>
        <rFont val="Arial"/>
        <family val="2"/>
      </rPr>
      <t>5</t>
    </r>
    <r>
      <rPr>
        <sz val="9"/>
        <color theme="1"/>
        <rFont val="Arial"/>
        <family val="2"/>
      </rPr>
      <t xml:space="preserve"> (scf) (An example calculation is shown on page 6 of source):</t>
    </r>
  </si>
  <si>
    <r>
      <t xml:space="preserve"> LFG content of 50% CH</t>
    </r>
    <r>
      <rPr>
        <vertAlign val="subscript"/>
        <sz val="9"/>
        <color theme="1"/>
        <rFont val="Arial"/>
        <family val="2"/>
      </rPr>
      <t>4</t>
    </r>
    <r>
      <rPr>
        <sz val="9"/>
        <color theme="1"/>
        <rFont val="Arial"/>
        <family val="2"/>
      </rPr>
      <t xml:space="preserve"> and 50% CO</t>
    </r>
    <r>
      <rPr>
        <vertAlign val="subscript"/>
        <sz val="9"/>
        <color theme="1"/>
        <rFont val="Arial"/>
        <family val="2"/>
      </rPr>
      <t>2</t>
    </r>
    <r>
      <rPr>
        <sz val="9"/>
        <color theme="1"/>
        <rFont val="Arial"/>
        <family val="2"/>
      </rPr>
      <t>, LFG HHV = 506 Btu/scf, LFG Carbon Content Coefficient = 14.2 kg C(carbon)/MMBtu, Fraction Oxidized = 1</t>
    </r>
  </si>
  <si>
    <r>
      <rPr>
        <vertAlign val="superscript"/>
        <sz val="9"/>
        <color theme="1"/>
        <rFont val="Arial"/>
        <family val="2"/>
      </rPr>
      <t>1</t>
    </r>
    <r>
      <rPr>
        <sz val="9"/>
        <color theme="1"/>
        <rFont val="Arial"/>
        <family val="2"/>
      </rPr>
      <t xml:space="preserve"> BTUs, CFMs, and GGEs Demystified. Nat-G: CNG Solutions. Accessed 5 May 2013. &lt;http://www.nat-g.com/why-cng/cng-units-explained/&gt;</t>
    </r>
  </si>
  <si>
    <r>
      <rPr>
        <vertAlign val="superscript"/>
        <sz val="9"/>
        <color theme="1"/>
        <rFont val="Arial"/>
        <family val="2"/>
      </rPr>
      <t>2</t>
    </r>
    <r>
      <rPr>
        <sz val="9"/>
        <color theme="1"/>
        <rFont val="Arial"/>
        <family val="2"/>
      </rPr>
      <t xml:space="preserve"> Bioenergy Calculator. Technology Assumptions sheet, cell B29.</t>
    </r>
  </si>
  <si>
    <r>
      <rPr>
        <vertAlign val="superscript"/>
        <sz val="9"/>
        <color theme="1"/>
        <rFont val="Arial"/>
        <family val="2"/>
      </rPr>
      <t>3</t>
    </r>
    <r>
      <rPr>
        <sz val="9"/>
        <color theme="1"/>
        <rFont val="Arial"/>
        <family val="2"/>
      </rPr>
      <t xml:space="preserve"> Clean Energy: Calculations and References. EPA. Accessed 2 Mar 2013. &lt;http://www.epa.gov/cleanenergy/energy-resources/refs.html&gt;</t>
    </r>
  </si>
  <si>
    <r>
      <rPr>
        <vertAlign val="superscript"/>
        <sz val="9"/>
        <color theme="1"/>
        <rFont val="Arial"/>
        <family val="2"/>
      </rPr>
      <t>4</t>
    </r>
    <r>
      <rPr>
        <sz val="9"/>
        <color theme="1"/>
        <rFont val="Arial"/>
        <family val="2"/>
      </rPr>
      <t xml:space="preserve"> Emission Reductions and Environmental and Energy Benefits for Landfill Gas Energy Projects. LMOP. Accessed Feb 2013. &lt;http://www.epa.gov/lmop/projects-candidates/lfge-calculator.html&gt;</t>
    </r>
  </si>
  <si>
    <r>
      <rPr>
        <vertAlign val="superscript"/>
        <sz val="9"/>
        <color theme="1"/>
        <rFont val="Arial"/>
        <family val="2"/>
      </rPr>
      <t>5</t>
    </r>
    <r>
      <rPr>
        <sz val="9"/>
        <color theme="1"/>
        <rFont val="Arial"/>
        <family val="2"/>
      </rPr>
      <t xml:space="preserve"> Direct Emissions from Stationary Combustion Sources. EPA. May 2008. Accessed Feb 2013. &lt;http://www.epa.gov/climateleadership/documents/resources/stationarycombustionguidance.pdf&gt;</t>
    </r>
  </si>
  <si>
    <r>
      <t>CO</t>
    </r>
    <r>
      <rPr>
        <b/>
        <vertAlign val="subscript"/>
        <sz val="10"/>
        <color theme="0"/>
        <rFont val="Arial"/>
        <family val="2"/>
      </rPr>
      <t>2</t>
    </r>
    <r>
      <rPr>
        <b/>
        <sz val="10"/>
        <color theme="0"/>
        <rFont val="Arial"/>
        <family val="2"/>
      </rPr>
      <t xml:space="preserve"> Produced: conventional gasoline (equivalent amount)
(tons/yr)</t>
    </r>
  </si>
  <si>
    <r>
      <t>Potential CO</t>
    </r>
    <r>
      <rPr>
        <b/>
        <vertAlign val="subscript"/>
        <sz val="10"/>
        <color theme="0"/>
        <rFont val="Arial"/>
        <family val="2"/>
      </rPr>
      <t>2</t>
    </r>
    <r>
      <rPr>
        <b/>
        <sz val="10"/>
        <color theme="0"/>
        <rFont val="Arial"/>
        <family val="2"/>
      </rPr>
      <t xml:space="preserve"> savings: EPA
(tons/yr)</t>
    </r>
  </si>
  <si>
    <r>
      <t>Potential CO</t>
    </r>
    <r>
      <rPr>
        <b/>
        <vertAlign val="subscript"/>
        <sz val="10"/>
        <color theme="0"/>
        <rFont val="Arial"/>
        <family val="2"/>
      </rPr>
      <t>2</t>
    </r>
    <r>
      <rPr>
        <b/>
        <sz val="10"/>
        <color theme="0"/>
        <rFont val="Arial"/>
        <family val="2"/>
      </rPr>
      <t xml:space="preserve"> savings: Other
(tons/yr)</t>
    </r>
  </si>
  <si>
    <r>
      <t>Potential CO</t>
    </r>
    <r>
      <rPr>
        <b/>
        <vertAlign val="subscript"/>
        <sz val="10"/>
        <color theme="0"/>
        <rFont val="Arial"/>
        <family val="2"/>
      </rPr>
      <t>2</t>
    </r>
    <r>
      <rPr>
        <b/>
        <sz val="10"/>
        <color theme="0"/>
        <rFont val="Arial"/>
        <family val="2"/>
      </rPr>
      <t xml:space="preserve"> Produced
(tons/yr)</t>
    </r>
  </si>
  <si>
    <r>
      <t>113 - average biogas production (in Nm</t>
    </r>
    <r>
      <rPr>
        <vertAlign val="superscript"/>
        <sz val="9"/>
        <color theme="1"/>
        <rFont val="Arial"/>
        <family val="2"/>
      </rPr>
      <t>3</t>
    </r>
    <r>
      <rPr>
        <sz val="9"/>
        <color theme="1"/>
        <rFont val="Arial"/>
        <family val="2"/>
      </rPr>
      <t xml:space="preserve"> - normal cubic meters) per ton of feed material</t>
    </r>
    <r>
      <rPr>
        <vertAlign val="superscript"/>
        <sz val="9"/>
        <color theme="1"/>
        <rFont val="Arial"/>
        <family val="2"/>
      </rPr>
      <t>2</t>
    </r>
    <r>
      <rPr>
        <sz val="9"/>
        <color theme="1"/>
        <rFont val="Arial"/>
        <family val="2"/>
      </rPr>
      <t xml:space="preserve"> (multiply)</t>
    </r>
  </si>
  <si>
    <r>
      <t>6.25 - energy content of biogas</t>
    </r>
    <r>
      <rPr>
        <vertAlign val="superscript"/>
        <sz val="9"/>
        <color theme="1"/>
        <rFont val="Arial"/>
        <family val="2"/>
      </rPr>
      <t>3</t>
    </r>
    <r>
      <rPr>
        <sz val="9"/>
        <color theme="1"/>
        <rFont val="Arial"/>
        <family val="2"/>
      </rPr>
      <t xml:space="preserve"> (kWh/m</t>
    </r>
    <r>
      <rPr>
        <vertAlign val="superscript"/>
        <sz val="9"/>
        <color theme="1"/>
        <rFont val="Arial"/>
        <family val="2"/>
      </rPr>
      <t>3</t>
    </r>
    <r>
      <rPr>
        <sz val="9"/>
        <color theme="1"/>
        <rFont val="Arial"/>
        <family val="2"/>
      </rPr>
      <t>) (multiply)</t>
    </r>
  </si>
  <si>
    <r>
      <t>0.2916239 - weighted average efficiency for engines, gas turbines, and boiler/steam turbines</t>
    </r>
    <r>
      <rPr>
        <vertAlign val="superscript"/>
        <sz val="9"/>
        <color theme="1"/>
        <rFont val="Arial"/>
        <family val="2"/>
      </rPr>
      <t>4</t>
    </r>
    <r>
      <rPr>
        <sz val="9"/>
        <color theme="1"/>
        <rFont val="Arial"/>
        <family val="2"/>
      </rPr>
      <t xml:space="preserve"> (attained by dividing 3412 Btu/kWh by the given 11,700 Btu/kWh) (multiply)</t>
    </r>
  </si>
  <si>
    <r>
      <t>Potential CO</t>
    </r>
    <r>
      <rPr>
        <u/>
        <vertAlign val="subscript"/>
        <sz val="9"/>
        <color theme="1"/>
        <rFont val="Arial"/>
        <family val="2"/>
      </rPr>
      <t>2</t>
    </r>
    <r>
      <rPr>
        <u/>
        <sz val="9"/>
        <color theme="1"/>
        <rFont val="Arial"/>
        <family val="2"/>
      </rPr>
      <t xml:space="preserve"> Produced (COP) equation</t>
    </r>
  </si>
  <si>
    <r>
      <t>113 - average biogas production (in Nm3 - normal cubic meters) per ton of feed material</t>
    </r>
    <r>
      <rPr>
        <vertAlign val="superscript"/>
        <sz val="9"/>
        <color theme="1"/>
        <rFont val="Arial"/>
        <family val="2"/>
      </rPr>
      <t>2</t>
    </r>
    <r>
      <rPr>
        <sz val="9"/>
        <color theme="1"/>
        <rFont val="Arial"/>
        <family val="2"/>
      </rPr>
      <t xml:space="preserve"> (multiply)</t>
    </r>
  </si>
  <si>
    <r>
      <t>0.03144075657 - amount of CO</t>
    </r>
    <r>
      <rPr>
        <vertAlign val="subscript"/>
        <sz val="9"/>
        <color theme="1"/>
        <rFont val="Arial"/>
        <family val="2"/>
      </rPr>
      <t>2</t>
    </r>
    <r>
      <rPr>
        <sz val="9"/>
        <color theme="1"/>
        <rFont val="Arial"/>
        <family val="2"/>
      </rPr>
      <t xml:space="preserve"> in kg in one scf of biogas* (multiply)</t>
    </r>
  </si>
  <si>
    <r>
      <t>*Process used to determine amount of CO</t>
    </r>
    <r>
      <rPr>
        <vertAlign val="subscript"/>
        <sz val="9"/>
        <color theme="1"/>
        <rFont val="Arial"/>
        <family val="2"/>
      </rPr>
      <t>2</t>
    </r>
    <r>
      <rPr>
        <sz val="9"/>
        <color theme="1"/>
        <rFont val="Arial"/>
        <family val="2"/>
      </rPr>
      <t xml:space="preserve"> (kg) in biogas</t>
    </r>
    <r>
      <rPr>
        <vertAlign val="superscript"/>
        <sz val="9"/>
        <color theme="1"/>
        <rFont val="Arial"/>
        <family val="2"/>
      </rPr>
      <t>5</t>
    </r>
    <r>
      <rPr>
        <sz val="9"/>
        <color theme="1"/>
        <rFont val="Arial"/>
        <family val="2"/>
      </rPr>
      <t xml:space="preserve"> (scf) (An example calculation is shown on page 6 of source):</t>
    </r>
  </si>
  <si>
    <r>
      <t>Biogas content of 65% CH</t>
    </r>
    <r>
      <rPr>
        <vertAlign val="subscript"/>
        <sz val="9"/>
        <color theme="1"/>
        <rFont val="Arial"/>
        <family val="2"/>
      </rPr>
      <t>4</t>
    </r>
    <r>
      <rPr>
        <sz val="9"/>
        <color theme="1"/>
        <rFont val="Arial"/>
        <family val="2"/>
      </rPr>
      <t>, biogas HHV = 603.8 Btu/scf, biogas Carbon Content Coefficient = 14.2 kg C(carbon)/MMBtu, Fraction Oxidized = 1</t>
    </r>
  </si>
  <si>
    <r>
      <t>0.0085748 kg C/scf * (44 kg CO</t>
    </r>
    <r>
      <rPr>
        <vertAlign val="subscript"/>
        <sz val="9"/>
        <color theme="1"/>
        <rFont val="Arial"/>
        <family val="2"/>
      </rPr>
      <t>2</t>
    </r>
    <r>
      <rPr>
        <sz val="9"/>
        <color theme="1"/>
        <rFont val="Arial"/>
        <family val="2"/>
      </rPr>
      <t>/12 kg C) = 0.03144075657 kg CO</t>
    </r>
    <r>
      <rPr>
        <vertAlign val="subscript"/>
        <sz val="9"/>
        <color theme="1"/>
        <rFont val="Arial"/>
        <family val="2"/>
      </rPr>
      <t>2</t>
    </r>
    <r>
      <rPr>
        <sz val="9"/>
        <color theme="1"/>
        <rFont val="Arial"/>
        <family val="2"/>
      </rPr>
      <t>/scf</t>
    </r>
  </si>
  <si>
    <r>
      <rPr>
        <vertAlign val="superscript"/>
        <sz val="9"/>
        <color theme="1"/>
        <rFont val="Arial"/>
        <family val="2"/>
      </rPr>
      <t>1</t>
    </r>
    <r>
      <rPr>
        <sz val="9"/>
        <color theme="1"/>
        <rFont val="Arial"/>
        <family val="2"/>
      </rPr>
      <t xml:space="preserve"> CO2 Emissions Rates of Marginal Units and Average CO2 Emissions Rates. PJM. 2009. Accessed 15 May 2013. &lt;http://www.pjm.com/Home/markets-and-operations/~/media/documents/reports/co2-emissions-report.ashx&gt;</t>
    </r>
  </si>
  <si>
    <r>
      <rPr>
        <vertAlign val="superscript"/>
        <sz val="9"/>
        <color theme="1"/>
        <rFont val="Arial"/>
        <family val="2"/>
      </rPr>
      <t>2</t>
    </r>
    <r>
      <rPr>
        <sz val="9"/>
        <color theme="1"/>
        <rFont val="Arial"/>
        <family val="2"/>
      </rPr>
      <t xml:space="preserve"> Arsova, Ljupka. Anaerobic digestion of food waste: Current status, problems and an alternative product. Columbia University. May 2010. Accessed 27 Mar 2013. &lt;http://www.seas.columbia.edu/earth/wtert/sofos/arsova_thesis.pdf&gt;</t>
    </r>
  </si>
  <si>
    <r>
      <rPr>
        <vertAlign val="superscript"/>
        <sz val="9"/>
        <color theme="1"/>
        <rFont val="Arial"/>
        <family val="2"/>
      </rPr>
      <t>3</t>
    </r>
    <r>
      <rPr>
        <sz val="9"/>
        <color theme="1"/>
        <rFont val="Arial"/>
        <family val="2"/>
      </rPr>
      <t xml:space="preserve"> Curry, Nathan and Pragasen Pillay. Biogas prediction and design of a food waste to energy system for the urban environment. </t>
    </r>
    <r>
      <rPr>
        <i/>
        <sz val="9"/>
        <color theme="1"/>
        <rFont val="Arial"/>
        <family val="2"/>
      </rPr>
      <t>Renewable Energy</t>
    </r>
    <r>
      <rPr>
        <sz val="9"/>
        <color theme="1"/>
        <rFont val="Arial"/>
        <family val="2"/>
      </rPr>
      <t>. Vol. 41. May 2012. Accessed 2 Apr 2013. &lt;http://www.sciencedirect.com/science/article/pii/S0960148111005957&gt;</t>
    </r>
  </si>
  <si>
    <r>
      <t>0.3 - Percent of food waste that is dry matter</t>
    </r>
    <r>
      <rPr>
        <vertAlign val="superscript"/>
        <sz val="9"/>
        <color theme="1"/>
        <rFont val="Arial"/>
        <family val="2"/>
      </rPr>
      <t xml:space="preserve">1 </t>
    </r>
    <r>
      <rPr>
        <sz val="9"/>
        <color theme="1"/>
        <rFont val="Arial"/>
        <family val="2"/>
      </rPr>
      <t>(multiply)</t>
    </r>
  </si>
  <si>
    <r>
      <t>16 - MMBtu per dry ton of food waste</t>
    </r>
    <r>
      <rPr>
        <vertAlign val="superscript"/>
        <sz val="9"/>
        <color theme="1"/>
        <rFont val="Arial"/>
        <family val="2"/>
      </rPr>
      <t xml:space="preserve">2 </t>
    </r>
    <r>
      <rPr>
        <sz val="9"/>
        <color theme="1"/>
        <rFont val="Arial"/>
        <family val="2"/>
      </rPr>
      <t>(multiply)</t>
    </r>
  </si>
  <si>
    <r>
      <t>4.8 - Transportation fuel production (GGE) per MMBtu</t>
    </r>
    <r>
      <rPr>
        <vertAlign val="superscript"/>
        <sz val="9"/>
        <color theme="1"/>
        <rFont val="Arial"/>
        <family val="2"/>
      </rPr>
      <t xml:space="preserve">3 </t>
    </r>
    <r>
      <rPr>
        <sz val="9"/>
        <color theme="1"/>
        <rFont val="Arial"/>
        <family val="2"/>
      </rPr>
      <t>(multiply)</t>
    </r>
  </si>
  <si>
    <r>
      <t>(1/1.136) - converting GGE to DGE, 1 DGE = 1.136 GGE</t>
    </r>
    <r>
      <rPr>
        <vertAlign val="superscript"/>
        <sz val="9"/>
        <color theme="1"/>
        <rFont val="Arial"/>
        <family val="2"/>
      </rPr>
      <t xml:space="preserve">4 </t>
    </r>
    <r>
      <rPr>
        <sz val="9"/>
        <color theme="1"/>
        <rFont val="Arial"/>
        <family val="2"/>
      </rPr>
      <t>(multiply)</t>
    </r>
  </si>
  <si>
    <r>
      <t>113 - average biogas production (in Nm3 - normal cubic meters) per ton of feed material</t>
    </r>
    <r>
      <rPr>
        <vertAlign val="superscript"/>
        <sz val="9"/>
        <color theme="1"/>
        <rFont val="Arial"/>
        <family val="2"/>
      </rPr>
      <t>5</t>
    </r>
    <r>
      <rPr>
        <sz val="9"/>
        <color theme="1"/>
        <rFont val="Arial"/>
        <family val="2"/>
      </rPr>
      <t xml:space="preserve"> (multiply)</t>
    </r>
  </si>
  <si>
    <r>
      <t>0.00892 - metric tons of CO</t>
    </r>
    <r>
      <rPr>
        <vertAlign val="subscript"/>
        <sz val="9"/>
        <color theme="1"/>
        <rFont val="Arial"/>
        <family val="2"/>
      </rPr>
      <t>2</t>
    </r>
    <r>
      <rPr>
        <sz val="9"/>
        <color theme="1"/>
        <rFont val="Arial"/>
        <family val="2"/>
      </rPr>
      <t xml:space="preserve"> per gallon of gasoline</t>
    </r>
    <r>
      <rPr>
        <vertAlign val="superscript"/>
        <sz val="9"/>
        <color theme="1"/>
        <rFont val="Arial"/>
        <family val="2"/>
      </rPr>
      <t>6</t>
    </r>
    <r>
      <rPr>
        <sz val="9"/>
        <color theme="1"/>
        <rFont val="Arial"/>
        <family val="2"/>
      </rPr>
      <t xml:space="preserve"> (multiply)</t>
    </r>
  </si>
  <si>
    <r>
      <t>*Process used to determine amount of CO</t>
    </r>
    <r>
      <rPr>
        <vertAlign val="subscript"/>
        <sz val="9"/>
        <color theme="1"/>
        <rFont val="Arial"/>
        <family val="2"/>
      </rPr>
      <t>2</t>
    </r>
    <r>
      <rPr>
        <sz val="9"/>
        <color theme="1"/>
        <rFont val="Arial"/>
        <family val="2"/>
      </rPr>
      <t xml:space="preserve"> (kg) in biogas</t>
    </r>
    <r>
      <rPr>
        <vertAlign val="superscript"/>
        <sz val="9"/>
        <color theme="1"/>
        <rFont val="Arial"/>
        <family val="2"/>
      </rPr>
      <t>7</t>
    </r>
    <r>
      <rPr>
        <sz val="9"/>
        <color theme="1"/>
        <rFont val="Arial"/>
        <family val="2"/>
      </rPr>
      <t xml:space="preserve"> (scf) (An example calculation is shown on page 6 of source):</t>
    </r>
  </si>
  <si>
    <r>
      <rPr>
        <vertAlign val="superscript"/>
        <sz val="9"/>
        <color theme="1"/>
        <rFont val="Arial"/>
        <family val="2"/>
      </rPr>
      <t>1</t>
    </r>
    <r>
      <rPr>
        <sz val="9"/>
        <color theme="1"/>
        <rFont val="Arial"/>
        <family val="2"/>
      </rPr>
      <t xml:space="preserve"> Bioenergy Calculator. Energy Content Assumptions sheet, cell C26.</t>
    </r>
  </si>
  <si>
    <r>
      <rPr>
        <vertAlign val="superscript"/>
        <sz val="9"/>
        <color theme="1"/>
        <rFont val="Arial"/>
        <family val="2"/>
      </rPr>
      <t>2</t>
    </r>
    <r>
      <rPr>
        <sz val="9"/>
        <color theme="1"/>
        <rFont val="Arial"/>
        <family val="2"/>
      </rPr>
      <t xml:space="preserve"> Bioenergy Calculator. Conversion Tables sheet, cell C31.</t>
    </r>
  </si>
  <si>
    <r>
      <rPr>
        <vertAlign val="superscript"/>
        <sz val="9"/>
        <color theme="1"/>
        <rFont val="Arial"/>
        <family val="2"/>
      </rPr>
      <t>3</t>
    </r>
    <r>
      <rPr>
        <sz val="9"/>
        <color theme="1"/>
        <rFont val="Arial"/>
        <family val="2"/>
      </rPr>
      <t xml:space="preserve"> Bioenergy Calculator. Technology Assumptions sheet, cell B30.</t>
    </r>
  </si>
  <si>
    <r>
      <rPr>
        <vertAlign val="superscript"/>
        <sz val="9"/>
        <color theme="1"/>
        <rFont val="Arial"/>
        <family val="2"/>
      </rPr>
      <t>4</t>
    </r>
    <r>
      <rPr>
        <sz val="9"/>
        <color theme="1"/>
        <rFont val="Arial"/>
        <family val="2"/>
      </rPr>
      <t xml:space="preserve"> BTUs, CFMs, and GGEs Demystified. Nat-G: CNG Solutions. Accessed 5 May 2013. &lt;http://www.nat-g.com/why-cng/cng-units-explained/&gt;</t>
    </r>
  </si>
  <si>
    <r>
      <rPr>
        <vertAlign val="superscript"/>
        <sz val="9"/>
        <color theme="1"/>
        <rFont val="Arial"/>
        <family val="2"/>
      </rPr>
      <t>5</t>
    </r>
    <r>
      <rPr>
        <sz val="9"/>
        <color theme="1"/>
        <rFont val="Arial"/>
        <family val="2"/>
      </rPr>
      <t xml:space="preserve"> Arsova, Ljupka. Anaerobic digestion of food waste: Current status, problems and an alternative product. Columbia University. May 2010. Accessed 27 Mar 2013. &lt;http://www.seas.columbia.edu/earth/wtert/sofos/arsova_thesis.pdf&gt;</t>
    </r>
  </si>
  <si>
    <r>
      <rPr>
        <vertAlign val="superscript"/>
        <sz val="9"/>
        <color theme="1"/>
        <rFont val="Arial"/>
        <family val="2"/>
      </rPr>
      <t>6</t>
    </r>
    <r>
      <rPr>
        <sz val="9"/>
        <color theme="1"/>
        <rFont val="Arial"/>
        <family val="2"/>
      </rPr>
      <t xml:space="preserve"> Clean Energy: Calculations and References. EPA. Accessed 2 Mar 2013. &lt;http://www.epa.gov/cleanenergy/energy-resources/refs.html&gt;</t>
    </r>
  </si>
  <si>
    <r>
      <rPr>
        <vertAlign val="superscript"/>
        <sz val="9"/>
        <color theme="1"/>
        <rFont val="Arial"/>
        <family val="2"/>
      </rPr>
      <t>7</t>
    </r>
    <r>
      <rPr>
        <sz val="9"/>
        <color theme="1"/>
        <rFont val="Arial"/>
        <family val="2"/>
      </rPr>
      <t xml:space="preserve"> Direct Emissions from Stationary Combustion Sources. EPA. May 2008. Accessed Feb 2013. &lt;http://www.epa.gov/climateleadership/documents/resources/stationarycombustionguidance.pdf&gt;</t>
    </r>
  </si>
  <si>
    <t>Food Waste to Power - Electricity Production</t>
  </si>
  <si>
    <t>Landfill Gas to Power - Electricity Production</t>
  </si>
  <si>
    <t>Gary Conover, ACUA Solid Waste Director</t>
  </si>
  <si>
    <t>Robert Simkins</t>
  </si>
  <si>
    <t>Robert Simkins, Burlington County Solid Waste Coordinator</t>
  </si>
  <si>
    <t>John Londres, PCFA of Camden County Deputy Director</t>
  </si>
  <si>
    <t>John Barron, Cape May County MUA Deputy Director</t>
  </si>
  <si>
    <t>Enos Martin, PPL Renewable Energy LLC Asset Manager</t>
  </si>
  <si>
    <t>Eric Peterson, SCS Engineers Vice President</t>
  </si>
  <si>
    <t>Robert Leslie, MCUA Solid Waste Division</t>
  </si>
  <si>
    <t>Jack Whitman, Edgeboro International, Inc. Vice President</t>
  </si>
  <si>
    <t>Martin Ryan, Ocean County Landfill Corporation Engineering VP</t>
  </si>
  <si>
    <t>Lynn Schmidt, Salem County Landfill Site Manager</t>
  </si>
  <si>
    <t>Thomas Varro</t>
  </si>
  <si>
    <t>SCMUA - Chief Engineer</t>
  </si>
  <si>
    <t>tvarro@scmua.org</t>
  </si>
  <si>
    <t>Thomas Varro, SCMUA Chief Engineer</t>
  </si>
  <si>
    <t>James Williams, Warren County District Landfill Director of Operations</t>
  </si>
  <si>
    <t>Michael Aucott, NJDEP Research Scientist</t>
  </si>
  <si>
    <t>NJDEP Bureau of Recycing and Planning - Bureau Chief</t>
  </si>
  <si>
    <t>Percent Collected of Total Generated</t>
  </si>
  <si>
    <t>NJAES - Associate Extension Specialist, Dept.of Animal Sciences</t>
  </si>
  <si>
    <t>Mike Westendorf, NJAES Dept. of Animal Sciences Associate Extension Specialist</t>
  </si>
  <si>
    <t>% available = 100% to estimate maximum potential
Guy Watson, NJDEP Bureau of Recycing and Planning Bureau Chief</t>
  </si>
  <si>
    <t>C&amp;D, Non-recycled wood</t>
  </si>
  <si>
    <t>Agricultural crop residuals</t>
  </si>
  <si>
    <t xml:space="preserve">1 Ton CH4 = 47,478.4 scf CH4:  1 ton CH4 = (2000lb/ton x 453.59g/lb) / (16.043g/mol x 1.191 mol/cubic ft)    </t>
  </si>
  <si>
    <t>Methane is 50% of Landfill Gas by volume</t>
  </si>
  <si>
    <t>Conversion Factors (used for Aucott Information)*:</t>
  </si>
  <si>
    <t>*Aucott's spreadsheet is recorded in tons of CH4/year for each landfill (generated and burned). Only landfills with power generation capabilities and/or flaring were considered. After applying Aucott's assumptions</t>
  </si>
  <si>
    <t>(10% oxidation and 75% collection) to the aforementioned landfills, the tons CH4/yr statistics were converted to scf/yr, multiplied by 2 (LFG assumed 50% methane), and converted to mmscfy to arrive at the shown LFG numbers.</t>
  </si>
  <si>
    <t>Sewage Sludge Production by Management Mode (2011). Bureau of Pretreatment and Residuals. NJDEP. 25 Jan 2013. Accessed 22 May 2013. &lt;http://www.nj.gov/dep/dwq/sludge.htm&gt;.</t>
  </si>
  <si>
    <t>Christopher Dour, NJMC Solid Waste Operations Supervisor</t>
  </si>
  <si>
    <t>Christopher Dour</t>
  </si>
  <si>
    <t>Chris.Dour@njmeadowlands.gov</t>
  </si>
  <si>
    <t>Practically Recoverable Percentage</t>
  </si>
  <si>
    <r>
      <t>WWTP Biosolids</t>
    </r>
    <r>
      <rPr>
        <b/>
        <vertAlign val="superscript"/>
        <sz val="12"/>
        <color theme="0"/>
        <rFont val="Arial"/>
        <family val="2"/>
      </rPr>
      <t>3</t>
    </r>
    <r>
      <rPr>
        <b/>
        <sz val="12"/>
        <color theme="0"/>
        <rFont val="Arial"/>
        <family val="2"/>
      </rPr>
      <t xml:space="preserve"> (dry tons/yr)</t>
    </r>
  </si>
  <si>
    <t>Thomas Marturano</t>
  </si>
  <si>
    <t>NJMC - Solid Waste Operations Supervisor</t>
  </si>
  <si>
    <t>NJMC - Director of Solid Waste and Natural Resources</t>
  </si>
  <si>
    <t>201-460-4613</t>
  </si>
  <si>
    <t>C&amp;D (Non-recycled wood)</t>
  </si>
  <si>
    <t>Electricity Generation Potential (EGP) Equation</t>
  </si>
  <si>
    <t>(1/3412) - converting BTU to kWh (multiply)</t>
  </si>
  <si>
    <r>
      <t>MSW</t>
    </r>
    <r>
      <rPr>
        <vertAlign val="superscript"/>
        <sz val="10"/>
        <rFont val="Arial"/>
        <family val="2"/>
      </rPr>
      <t>8</t>
    </r>
  </si>
  <si>
    <t>Bulky (C&amp;D)</t>
  </si>
  <si>
    <t>Recycling</t>
  </si>
  <si>
    <t>Resource</t>
  </si>
  <si>
    <t>% Growth Between 2000 and 2010</t>
  </si>
  <si>
    <t>1000 - converting kWh to MWh</t>
  </si>
  <si>
    <t>EGP = C6*(6000*2000)*(1/3412)*0.24/1000</t>
  </si>
  <si>
    <r>
      <t>(6000*2000) - converting biosolids energy content</t>
    </r>
    <r>
      <rPr>
        <vertAlign val="superscript"/>
        <sz val="10"/>
        <rFont val="Arial"/>
        <family val="2"/>
      </rPr>
      <t>1</t>
    </r>
    <r>
      <rPr>
        <sz val="10"/>
        <rFont val="Arial"/>
        <family val="2"/>
      </rPr>
      <t xml:space="preserve"> to BTU/Ton (multiply)</t>
    </r>
  </si>
  <si>
    <r>
      <t>0.24 - efficiency of Biomass Direct Combustion: CHP</t>
    </r>
    <r>
      <rPr>
        <vertAlign val="superscript"/>
        <sz val="10"/>
        <rFont val="Arial"/>
        <family val="2"/>
      </rPr>
      <t>2</t>
    </r>
  </si>
  <si>
    <r>
      <rPr>
        <vertAlign val="superscript"/>
        <sz val="10"/>
        <rFont val="Arial"/>
        <family val="2"/>
      </rPr>
      <t>1</t>
    </r>
    <r>
      <rPr>
        <sz val="10"/>
        <rFont val="Arial"/>
        <family val="2"/>
      </rPr>
      <t xml:space="preserve"> Bioenergy Calculator. Energy Content Assumptions Sheet, cell B58.</t>
    </r>
  </si>
  <si>
    <r>
      <rPr>
        <vertAlign val="superscript"/>
        <sz val="10"/>
        <rFont val="Arial"/>
        <family val="2"/>
      </rPr>
      <t>2</t>
    </r>
    <r>
      <rPr>
        <sz val="10"/>
        <rFont val="Arial"/>
        <family val="2"/>
      </rPr>
      <t xml:space="preserve"> Bioenergy Calculator. Technology Assumptions Sheet, cell B5.</t>
    </r>
  </si>
  <si>
    <t>Note: growth applied to their respective feedstocks</t>
  </si>
  <si>
    <t>Current Gross Quantity (dry tons)</t>
  </si>
  <si>
    <t>Sugar/Starch</t>
  </si>
  <si>
    <t>Bio-oils</t>
  </si>
  <si>
    <t>Totals</t>
  </si>
  <si>
    <t>C&amp;D non-recycled wood</t>
  </si>
  <si>
    <t>PAGE 37</t>
  </si>
  <si>
    <t>PAGE 40 (PIE CHART BELOW)</t>
  </si>
  <si>
    <t>Landfill Gas Totals by County in 2012 (mmscf/yr)</t>
  </si>
  <si>
    <t>Total Captured</t>
  </si>
  <si>
    <t>Currently Used</t>
  </si>
  <si>
    <t>Net Available</t>
  </si>
  <si>
    <t>C &amp; D Wood</t>
  </si>
  <si>
    <t>COMMENT: None</t>
  </si>
  <si>
    <t>PAGE 11, 34 (LEFT)</t>
  </si>
  <si>
    <t>PAGE 11, 34 (RIGHT)</t>
  </si>
  <si>
    <t>Lignocellulosic</t>
  </si>
  <si>
    <t>Gross
(Population)</t>
  </si>
  <si>
    <t>PAGE 12, 35 (CHART DATA)</t>
  </si>
  <si>
    <t>MSW Projections (Gross Quantity to Landfills, Tons)</t>
  </si>
  <si>
    <t>PAGE 32, 33 (CHART DATA)</t>
  </si>
  <si>
    <t>PAGE 38 (CHART DATA)</t>
  </si>
  <si>
    <t>dry tons/sq. mi.</t>
  </si>
  <si>
    <t>Agriculture and Forestry Biomass (dry tons/yr)</t>
  </si>
  <si>
    <t>Square Miles</t>
  </si>
  <si>
    <t>Biomass</t>
  </si>
  <si>
    <t>Bio-oils (Soy)</t>
  </si>
  <si>
    <t>Forestry</t>
  </si>
  <si>
    <t>Ag. Residues</t>
  </si>
  <si>
    <t>Livestock waste</t>
  </si>
  <si>
    <t>CO2 Produced: conventional Diesel (equivalent amount)</t>
  </si>
  <si>
    <t>Potential CO2 Produced: convential DieselCO2CG) equation</t>
  </si>
  <si>
    <t>CO2CG = D6*(0.01018*1.10231)</t>
  </si>
  <si>
    <r>
      <t>0.01018- metric tons of CO</t>
    </r>
    <r>
      <rPr>
        <vertAlign val="subscript"/>
        <sz val="9"/>
        <color rgb="FFFF0000"/>
        <rFont val="Arial"/>
        <family val="2"/>
      </rPr>
      <t>2</t>
    </r>
    <r>
      <rPr>
        <sz val="9"/>
        <color rgb="FFFF0000"/>
        <rFont val="Arial"/>
        <family val="2"/>
      </rPr>
      <t xml:space="preserve"> per gallon of diesel</t>
    </r>
    <r>
      <rPr>
        <vertAlign val="superscript"/>
        <sz val="9"/>
        <color rgb="FFFF0000"/>
        <rFont val="Arial"/>
        <family val="2"/>
      </rPr>
      <t>3</t>
    </r>
    <r>
      <rPr>
        <sz val="9"/>
        <color rgb="FFFF0000"/>
        <rFont val="Arial"/>
        <family val="2"/>
      </rPr>
      <t xml:space="preserve"> (multiply)</t>
    </r>
  </si>
  <si>
    <t>Power Gen Potential EPA( MWh/y)</t>
  </si>
  <si>
    <t>Potential Coal fired CO2 displaced (tons/y)</t>
  </si>
  <si>
    <r>
      <t>Potential CO</t>
    </r>
    <r>
      <rPr>
        <b/>
        <vertAlign val="subscript"/>
        <sz val="10"/>
        <color theme="0"/>
        <rFont val="Arial"/>
        <family val="2"/>
      </rPr>
      <t>2</t>
    </r>
    <r>
      <rPr>
        <b/>
        <sz val="10"/>
        <color theme="0"/>
        <rFont val="Arial"/>
        <family val="2"/>
      </rPr>
      <t xml:space="preserve"> savings from GGE
(tons/yr)</t>
    </r>
  </si>
  <si>
    <r>
      <t>CO</t>
    </r>
    <r>
      <rPr>
        <b/>
        <sz val="8"/>
        <color theme="0"/>
        <rFont val="Arial"/>
        <family val="2"/>
      </rPr>
      <t>2:</t>
    </r>
    <r>
      <rPr>
        <b/>
        <sz val="10"/>
        <color theme="0"/>
        <rFont val="Arial"/>
        <family val="2"/>
      </rPr>
      <t xml:space="preserve"> Produced : conventional diesel (equivalent amount) (tons/y)</t>
    </r>
  </si>
  <si>
    <t>Potential CO2 savings from DGE (tons/y)</t>
  </si>
  <si>
    <t>no</t>
  </si>
  <si>
    <t>Electricity Generation Capacity Potential (Direct Combustion) 
(MW)</t>
  </si>
  <si>
    <t>Electricity Generation Potential 
(Direct Combustion)
(MWh/yr)</t>
  </si>
  <si>
    <t>Electricity Generation Potential 
(Gasification)
(MWh/yr)</t>
  </si>
  <si>
    <t>Electricity Generation Capacity Potential (Gasification) 
(MW)</t>
  </si>
  <si>
    <r>
      <t>Potential CO</t>
    </r>
    <r>
      <rPr>
        <u/>
        <vertAlign val="subscript"/>
        <sz val="9"/>
        <color rgb="FFFF0000"/>
        <rFont val="Arial"/>
        <family val="2"/>
      </rPr>
      <t>2</t>
    </r>
    <r>
      <rPr>
        <u/>
        <sz val="9"/>
        <color rgb="FFFF0000"/>
        <rFont val="Arial"/>
        <family val="2"/>
      </rPr>
      <t xml:space="preserve"> Produced (COP) equation</t>
    </r>
  </si>
  <si>
    <r>
      <t>113 - average biogas production (in Nm3 - normal cubic meters) per ton of feed material</t>
    </r>
    <r>
      <rPr>
        <vertAlign val="superscript"/>
        <sz val="9"/>
        <color rgb="FFFF0000"/>
        <rFont val="Arial"/>
        <family val="2"/>
      </rPr>
      <t>2</t>
    </r>
    <r>
      <rPr>
        <sz val="9"/>
        <color rgb="FFFF0000"/>
        <rFont val="Arial"/>
        <family val="2"/>
      </rPr>
      <t xml:space="preserve"> (multiply)</t>
    </r>
  </si>
  <si>
    <r>
      <t>0.03144075657 - amount of CO</t>
    </r>
    <r>
      <rPr>
        <vertAlign val="subscript"/>
        <sz val="9"/>
        <color rgb="FFFF0000"/>
        <rFont val="Arial"/>
        <family val="2"/>
      </rPr>
      <t>2</t>
    </r>
    <r>
      <rPr>
        <sz val="9"/>
        <color rgb="FFFF0000"/>
        <rFont val="Arial"/>
        <family val="2"/>
      </rPr>
      <t xml:space="preserve"> in kg in one scf of biogas* (multiply)</t>
    </r>
  </si>
  <si>
    <r>
      <t>*Process used to determine amount of CO</t>
    </r>
    <r>
      <rPr>
        <vertAlign val="subscript"/>
        <sz val="9"/>
        <color rgb="FFFF0000"/>
        <rFont val="Arial"/>
        <family val="2"/>
      </rPr>
      <t>2</t>
    </r>
    <r>
      <rPr>
        <sz val="9"/>
        <color rgb="FFFF0000"/>
        <rFont val="Arial"/>
        <family val="2"/>
      </rPr>
      <t xml:space="preserve"> (kg) in biogas</t>
    </r>
    <r>
      <rPr>
        <vertAlign val="superscript"/>
        <sz val="9"/>
        <color rgb="FFFF0000"/>
        <rFont val="Arial"/>
        <family val="2"/>
      </rPr>
      <t>5</t>
    </r>
    <r>
      <rPr>
        <sz val="9"/>
        <color rgb="FFFF0000"/>
        <rFont val="Arial"/>
        <family val="2"/>
      </rPr>
      <t xml:space="preserve"> (scf) (An example calculation is shown on page 6 of source):</t>
    </r>
  </si>
  <si>
    <r>
      <t>3. Determine CO</t>
    </r>
    <r>
      <rPr>
        <vertAlign val="subscript"/>
        <sz val="9"/>
        <color rgb="FFFF0000"/>
        <rFont val="Arial"/>
        <family val="2"/>
      </rPr>
      <t>2</t>
    </r>
    <r>
      <rPr>
        <sz val="9"/>
        <color rgb="FFFF0000"/>
        <rFont val="Arial"/>
        <family val="2"/>
      </rPr>
      <t xml:space="preserve"> emissions by molar fraction</t>
    </r>
  </si>
  <si>
    <r>
      <t>Note: This method, as well as the EPA Calculator, only considers the CO</t>
    </r>
    <r>
      <rPr>
        <vertAlign val="subscript"/>
        <sz val="9"/>
        <color rgb="FFFF0000"/>
        <rFont val="Arial"/>
        <family val="2"/>
      </rPr>
      <t>2</t>
    </r>
    <r>
      <rPr>
        <sz val="9"/>
        <color rgb="FFFF0000"/>
        <rFont val="Arial"/>
        <family val="2"/>
      </rPr>
      <t xml:space="preserve"> produced from the methane portion of the LFG. The CO</t>
    </r>
    <r>
      <rPr>
        <vertAlign val="subscript"/>
        <sz val="9"/>
        <color rgb="FFFF0000"/>
        <rFont val="Arial"/>
        <family val="2"/>
      </rPr>
      <t>2</t>
    </r>
    <r>
      <rPr>
        <sz val="9"/>
        <color rgb="FFFF0000"/>
        <rFont val="Arial"/>
        <family val="2"/>
      </rPr>
      <t xml:space="preserve"> portion of LFG is deemed as naturally occurring and does not add to greenhouse gas emissions</t>
    </r>
  </si>
  <si>
    <r>
      <rPr>
        <vertAlign val="superscript"/>
        <sz val="9"/>
        <color rgb="FFFF0000"/>
        <rFont val="Arial"/>
        <family val="2"/>
      </rPr>
      <t>1</t>
    </r>
    <r>
      <rPr>
        <sz val="9"/>
        <color rgb="FFFF0000"/>
        <rFont val="Arial"/>
        <family val="2"/>
      </rPr>
      <t xml:space="preserve"> CO2 Emissions Rates of Marginal Units and Average CO2 Emissions Rates. PJM. 2009. Accessed 15 May 2013. &lt;http://www.pjm.com/Home/markets-and-operations/~/media/documents/reports/co2-emissions-report.ashx&gt;</t>
    </r>
  </si>
  <si>
    <r>
      <rPr>
        <vertAlign val="superscript"/>
        <sz val="9"/>
        <color rgb="FFFF0000"/>
        <rFont val="Arial"/>
        <family val="2"/>
      </rPr>
      <t>2</t>
    </r>
    <r>
      <rPr>
        <sz val="9"/>
        <color rgb="FFFF0000"/>
        <rFont val="Arial"/>
        <family val="2"/>
      </rPr>
      <t xml:space="preserve"> Arsova, Ljupka. Anaerobic digestion of food waste: Current status, problems and an alternative product. Columbia University. May 2010. Accessed 27 Mar 2013. &lt;http://www.seas.columbia.edu/earth/wtert/sofos/arsova_thesis.pdf&gt;</t>
    </r>
  </si>
  <si>
    <r>
      <rPr>
        <vertAlign val="superscript"/>
        <sz val="9"/>
        <color rgb="FFFF0000"/>
        <rFont val="Arial"/>
        <family val="2"/>
      </rPr>
      <t>3</t>
    </r>
    <r>
      <rPr>
        <sz val="9"/>
        <color rgb="FFFF0000"/>
        <rFont val="Arial"/>
        <family val="2"/>
      </rPr>
      <t xml:space="preserve"> Curry, Nathan and Pragasen Pillay. Biogas prediction and design of a food waste to energy system for the urban environment. </t>
    </r>
    <r>
      <rPr>
        <i/>
        <sz val="9"/>
        <color rgb="FFFF0000"/>
        <rFont val="Arial"/>
        <family val="2"/>
      </rPr>
      <t>Renewable Energy</t>
    </r>
    <r>
      <rPr>
        <sz val="9"/>
        <color rgb="FFFF0000"/>
        <rFont val="Arial"/>
        <family val="2"/>
      </rPr>
      <t>. Vol. 41. May 2012. Accessed 2 Apr 2013. &lt;http://www.sciencedirect.com/science/article/pii/S0960148111005957&gt;</t>
    </r>
  </si>
  <si>
    <r>
      <rPr>
        <vertAlign val="superscript"/>
        <sz val="9"/>
        <color rgb="FFFF0000"/>
        <rFont val="Arial"/>
        <family val="2"/>
      </rPr>
      <t>4</t>
    </r>
    <r>
      <rPr>
        <sz val="9"/>
        <color rgb="FFFF0000"/>
        <rFont val="Arial"/>
        <family val="2"/>
      </rPr>
      <t xml:space="preserve"> Emission Reductions and Environmental and Energy Benefits for Landfill Gas Energy Projects. LMOP. Accessed Feb 2013. &lt;http://www.epa.gov/lmop/projects-candidates/lfge-calculator.html&gt;</t>
    </r>
  </si>
  <si>
    <r>
      <rPr>
        <vertAlign val="superscript"/>
        <sz val="9"/>
        <color rgb="FFFF0000"/>
        <rFont val="Arial"/>
        <family val="2"/>
      </rPr>
      <t>5</t>
    </r>
    <r>
      <rPr>
        <sz val="9"/>
        <color rgb="FFFF0000"/>
        <rFont val="Arial"/>
        <family val="2"/>
      </rPr>
      <t xml:space="preserve"> Direct Emissions from Stationary Combustion Sources. EPA. May 2008. Accessed Feb 2013. &lt;http://www.epa.gov/climateleadership/documents/resources/stationarycombustionguidance.pdf&gt;</t>
    </r>
  </si>
  <si>
    <t>Net MSW to Landfills (tons)</t>
  </si>
  <si>
    <t xml:space="preserve">Direct CO2 Emissions (MTCO2e/Ton Waste) mixed average
</t>
  </si>
  <si>
    <t>Direct CO2 Emissions (MTCO2e/Ton Waste)
Biomass 62%</t>
  </si>
  <si>
    <t>Direct CO2 Emissions NonBiomass 38%</t>
  </si>
  <si>
    <t>Current MSW Incinerationtons (tons)</t>
  </si>
  <si>
    <t>Electricity Generation Current
(MSW to Power)
(MW)</t>
  </si>
  <si>
    <t>If Landfilled MSW  is utilized direct to Power  Generation- Electricity Production</t>
  </si>
  <si>
    <t>Dry weight in tons/yr (50% of fresh weight)x1000</t>
  </si>
  <si>
    <t xml:space="preserve">Timberland Biomass </t>
  </si>
  <si>
    <t xml:space="preserve">Net Energy Available (MMBtu) </t>
  </si>
  <si>
    <t xml:space="preserve">Net Energy Available= </t>
  </si>
  <si>
    <t>drytons*15.6(MMBTU/tons)</t>
  </si>
  <si>
    <t xml:space="preserve">MMBTU of Electricity </t>
  </si>
  <si>
    <t>MMBTU of Electricity = MMBTU*0.24</t>
  </si>
  <si>
    <t xml:space="preserve">MWh/year </t>
  </si>
  <si>
    <t>MWh/year = MMBTU*0.2929115*0.85</t>
  </si>
  <si>
    <t>MW=MWh/year/7446 (at 85% capacity)</t>
  </si>
  <si>
    <t xml:space="preserve">MW </t>
  </si>
  <si>
    <t>LFG Energy
(MMBTU)</t>
  </si>
  <si>
    <r>
      <t>LFG-CNG (WTW)
mtons CO</t>
    </r>
    <r>
      <rPr>
        <b/>
        <vertAlign val="subscript"/>
        <sz val="10"/>
        <color theme="0"/>
        <rFont val="Arial"/>
        <family val="2"/>
      </rPr>
      <t>2</t>
    </r>
    <r>
      <rPr>
        <b/>
        <sz val="10"/>
        <color theme="0"/>
        <rFont val="Arial"/>
        <family val="2"/>
      </rPr>
      <t>e</t>
    </r>
  </si>
  <si>
    <r>
      <t>NG-CNG (WTW)
mtons CO</t>
    </r>
    <r>
      <rPr>
        <b/>
        <vertAlign val="subscript"/>
        <sz val="10"/>
        <color theme="0"/>
        <rFont val="Arial"/>
        <family val="2"/>
      </rPr>
      <t>2</t>
    </r>
    <r>
      <rPr>
        <b/>
        <sz val="10"/>
        <color theme="0"/>
        <rFont val="Arial"/>
        <family val="2"/>
      </rPr>
      <t>e</t>
    </r>
  </si>
  <si>
    <r>
      <t>Gasoline 
mtons CO</t>
    </r>
    <r>
      <rPr>
        <b/>
        <vertAlign val="subscript"/>
        <sz val="10"/>
        <color theme="0"/>
        <rFont val="Arial"/>
        <family val="2"/>
      </rPr>
      <t>2</t>
    </r>
    <r>
      <rPr>
        <b/>
        <sz val="10"/>
        <color theme="0"/>
        <rFont val="Arial"/>
        <family val="2"/>
      </rPr>
      <t>e</t>
    </r>
  </si>
  <si>
    <t>Gasoline</t>
  </si>
  <si>
    <t>Diesel</t>
  </si>
  <si>
    <r>
      <t>Diesel
mtons CO</t>
    </r>
    <r>
      <rPr>
        <b/>
        <vertAlign val="subscript"/>
        <sz val="10"/>
        <color theme="0"/>
        <rFont val="Arial"/>
        <family val="2"/>
      </rPr>
      <t>2</t>
    </r>
    <r>
      <rPr>
        <b/>
        <sz val="10"/>
        <color theme="0"/>
        <rFont val="Arial"/>
        <family val="2"/>
      </rPr>
      <t>e</t>
    </r>
  </si>
  <si>
    <r>
      <t>LFG-LNG (WTW)
mtons CO</t>
    </r>
    <r>
      <rPr>
        <b/>
        <vertAlign val="subscript"/>
        <sz val="10"/>
        <color theme="0"/>
        <rFont val="Arial"/>
        <family val="2"/>
      </rPr>
      <t>2</t>
    </r>
    <r>
      <rPr>
        <b/>
        <sz val="10"/>
        <color theme="0"/>
        <rFont val="Arial"/>
        <family val="2"/>
      </rPr>
      <t>e</t>
    </r>
  </si>
  <si>
    <r>
      <t>NG-LNG (WTW)
mtons CO</t>
    </r>
    <r>
      <rPr>
        <b/>
        <vertAlign val="subscript"/>
        <sz val="10"/>
        <color theme="0"/>
        <rFont val="Arial"/>
        <family val="2"/>
      </rPr>
      <t>2</t>
    </r>
    <r>
      <rPr>
        <b/>
        <sz val="10"/>
        <color theme="0"/>
        <rFont val="Arial"/>
        <family val="2"/>
      </rPr>
      <t>e</t>
    </r>
  </si>
  <si>
    <t>mtons:metric tons</t>
  </si>
  <si>
    <t>Timberland Biomass</t>
  </si>
  <si>
    <t>Wood and wood residuels (12% moisture): 93.80kg  CO2/MMBTU</t>
  </si>
  <si>
    <t xml:space="preserve">CO2 emissions tons </t>
  </si>
  <si>
    <t>MMBTU</t>
  </si>
  <si>
    <t>CO2 emission tons/y</t>
  </si>
  <si>
    <t>Etoh Product yield(gal/dry us ton feedstock) :65.3</t>
  </si>
  <si>
    <t>I lb oil= 0.125 gallons of biodiesel</t>
  </si>
  <si>
    <t>*Fortenbery,R., "Biodiesel Feasibility tudy: AnEvaluation of Biodiesel Feasibility in Wisconsin"</t>
  </si>
  <si>
    <t>University of Wisconsin-Madison, Dept of Agand App. Economics, March 2005</t>
  </si>
  <si>
    <t>Biodiesel MMBTU/gallon: 0.128</t>
  </si>
  <si>
    <t>Yellow Grease Biodiesel (gallons)</t>
  </si>
  <si>
    <t>Yellow Grease  Biodiesel (MMBTU)</t>
  </si>
  <si>
    <t xml:space="preserve">kgCO2/gallon: 9.45 or tons Co2/gallon: 0.00945 </t>
  </si>
  <si>
    <t xml:space="preserve">Emission factor for MSW: 902 kgCO2/short ton of MSW or </t>
  </si>
  <si>
    <t xml:space="preserve">Emission Factor for MSW: 0.995ton CO2/ton of MSW </t>
  </si>
  <si>
    <t>CO2 emission tons/y w/emission factor</t>
  </si>
  <si>
    <t>drytons</t>
  </si>
  <si>
    <t>total</t>
  </si>
  <si>
    <t>Displaced fossil diesel gallons</t>
  </si>
  <si>
    <t>Fossil DieselMMBTU</t>
  </si>
  <si>
    <t>Diesel MMBTU/gallon= 0.139</t>
  </si>
  <si>
    <t>Fuel Efficiency for biodiesel is 90% of fossil diesel</t>
  </si>
  <si>
    <t xml:space="preserve">Yellow grease biodiesel CO2 (cooking required) </t>
  </si>
  <si>
    <t xml:space="preserve">Yellow grease biodiesel CO2 (cooking is not  required) </t>
  </si>
  <si>
    <t>Yellow Grease CO2= 15.84 gCO2/MJ = 15.84 gCO2 /0.00094708 MMBTU=: cooking required</t>
  </si>
  <si>
    <t>11.76gCO2/0.00094708 MMBTU= Cooking not Requried</t>
  </si>
  <si>
    <t xml:space="preserve">GREET fossil Based CO2 emissions displaced: tons </t>
  </si>
  <si>
    <t xml:space="preserve"> =0.00001584/0.00094708= tons CO2/MMBTU LCFS LOOKUP table for Biodiesel from Grease cooking requried</t>
  </si>
  <si>
    <t>accessed on 10/10/2013</t>
  </si>
  <si>
    <t>California LCFS Carbon Intensity Lookup Table 6.</t>
  </si>
  <si>
    <t xml:space="preserve"> www.arb.ca/gov/fuels/lcfs/lu_tables_11282012.pdf</t>
  </si>
  <si>
    <t>Fossil Diesel emissions</t>
  </si>
  <si>
    <t>MW = 85% capacityx8660 hours</t>
  </si>
  <si>
    <t>Gasification to mixed alcohol for ethanol  gal/y</t>
  </si>
  <si>
    <t xml:space="preserve">forestry waste to ethanol GHG emission: (WTW) 21.40g/MJ =  </t>
  </si>
  <si>
    <t>MMBTU in EtOh</t>
  </si>
  <si>
    <t xml:space="preserve">CO2e tons in EtOH </t>
  </si>
  <si>
    <t>displaced gasoline amount if used as E10 gallons/y</t>
  </si>
  <si>
    <t>Gasoline MMBTU/y</t>
  </si>
  <si>
    <t>Gasoline GREET WTWCO2etons/y</t>
  </si>
  <si>
    <t>LCFS arb.ca.gov</t>
  </si>
  <si>
    <t xml:space="preserve">Recoverable  in tons/yr (50% of dry tons+ 12%moisture) </t>
  </si>
  <si>
    <t>corn ethanol</t>
  </si>
  <si>
    <t>Corn Ethanol= Wet milled , 100% NG</t>
  </si>
  <si>
    <t>94.52gCO2e/MJ= 0.00009452/00094708 tonsCO2/MMBTU</t>
  </si>
  <si>
    <t>2nd Gen ethanol from Forest Waste</t>
  </si>
  <si>
    <t>21.40 gCO2e/MJ= 0.00002140/0.00094708 tons CO2e/MMBTU</t>
  </si>
  <si>
    <t>GRRET gasoline = 97,400g CO2e/MMBTU</t>
  </si>
  <si>
    <t>Soybean Biodiesel CO2e tons/year</t>
  </si>
  <si>
    <t>soybean Biodiesel CO2= 83.25gCO2/MJ= 0.00008325/0.00094708 tons/MMBTU</t>
  </si>
  <si>
    <t>Materials Currently Recycled</t>
  </si>
  <si>
    <t>Materials Currently Landfilled or Incinerated</t>
  </si>
  <si>
    <t xml:space="preserve"> Recycled Materials</t>
  </si>
  <si>
    <t>2012 
(dry tons)</t>
  </si>
  <si>
    <t xml:space="preserve"> Newspaper</t>
  </si>
  <si>
    <t xml:space="preserve"> Corrugated</t>
  </si>
  <si>
    <t xml:space="preserve"> Mixed Office Paper</t>
  </si>
  <si>
    <t xml:space="preserve"> Other Paper</t>
  </si>
  <si>
    <t xml:space="preserve"> Food Waste</t>
  </si>
  <si>
    <t xml:space="preserve"> Wood Scaps</t>
  </si>
  <si>
    <t xml:space="preserve"> Total</t>
  </si>
  <si>
    <t>Well-to-Wheels Analysis of Landfill Gas-Based Pathways and their Addition to the GREET Model table 10</t>
  </si>
  <si>
    <t>Well-to-Wheels Analysis of Landfill Gas-Based Pathways and their Addition to the GREET Model table 13</t>
  </si>
  <si>
    <t>GREET Comparison*</t>
  </si>
  <si>
    <t>*Argonne ANL/ESD/10-3</t>
  </si>
  <si>
    <t>*GREET Comparison</t>
  </si>
  <si>
    <t xml:space="preserve">Biogas (60% FW+40 Grass and Leaves)= </t>
  </si>
  <si>
    <t xml:space="preserve">Amount GC and Leaves needed to balance the mixture for AD </t>
  </si>
  <si>
    <t>183 - average biogas production (in Nm3 - normal cubic meters) per ton of food waste feed material2 (multiply)</t>
  </si>
  <si>
    <t>90 - average biogas production (in Nm3 - normal cubic meters) per ton of gras and leaveswaste feed material2 (multiply)</t>
  </si>
  <si>
    <t>Annual biomethane Potential  scf/year</t>
  </si>
  <si>
    <t>TotalBiogas From Food Waste &amp; Grass (scf/y)</t>
  </si>
  <si>
    <r>
      <t>Potential CO</t>
    </r>
    <r>
      <rPr>
        <b/>
        <vertAlign val="subscript"/>
        <sz val="10"/>
        <color theme="0"/>
        <rFont val="Arial"/>
        <family val="2"/>
      </rPr>
      <t>2</t>
    </r>
    <r>
      <rPr>
        <b/>
        <sz val="10"/>
        <color theme="0"/>
        <rFont val="Arial"/>
        <family val="2"/>
      </rPr>
      <t xml:space="preserve"> Produced (CO</t>
    </r>
    <r>
      <rPr>
        <b/>
        <vertAlign val="subscript"/>
        <sz val="10"/>
        <color theme="0"/>
        <rFont val="Arial"/>
        <family val="2"/>
      </rPr>
      <t>2</t>
    </r>
    <r>
      <rPr>
        <b/>
        <sz val="10"/>
        <color theme="0"/>
        <rFont val="Arial"/>
        <family val="2"/>
      </rPr>
      <t xml:space="preserve"> tons/y)</t>
    </r>
  </si>
  <si>
    <r>
      <t>Potential CO</t>
    </r>
    <r>
      <rPr>
        <b/>
        <vertAlign val="subscript"/>
        <sz val="10"/>
        <color theme="0"/>
        <rFont val="Arial"/>
        <family val="2"/>
      </rPr>
      <t>2</t>
    </r>
    <r>
      <rPr>
        <b/>
        <sz val="10"/>
        <color theme="0"/>
        <rFont val="Arial"/>
        <family val="2"/>
      </rPr>
      <t xml:space="preserve"> Produced (CO</t>
    </r>
    <r>
      <rPr>
        <b/>
        <vertAlign val="subscript"/>
        <sz val="10"/>
        <color theme="0"/>
        <rFont val="Arial"/>
        <family val="2"/>
      </rPr>
      <t>2</t>
    </r>
    <r>
      <rPr>
        <b/>
        <sz val="10"/>
        <color theme="0"/>
        <rFont val="Arial"/>
        <family val="2"/>
      </rPr>
      <t xml:space="preserve"> tons/y) **</t>
    </r>
  </si>
  <si>
    <t>**U.S.Default Factors for Calculating CO2 emissions from Fossil Fuel and Biomass Combustion.</t>
  </si>
  <si>
    <t>PJM</t>
  </si>
  <si>
    <t>Coal power CO2 tons/y</t>
  </si>
  <si>
    <t>Amount GC and Leaves needed to balance the mixture for AD (tons/y)</t>
  </si>
  <si>
    <t>1MWh=3600MJ</t>
  </si>
  <si>
    <t>MJ/y</t>
  </si>
  <si>
    <t>gCO2e/mj: -15.29</t>
  </si>
  <si>
    <t>tons CO2e /y</t>
  </si>
  <si>
    <t>biogas(captured methane) 52.07 kgCO2/MMBTU</t>
  </si>
  <si>
    <t>0.000841 MMBTU/scf</t>
  </si>
  <si>
    <t xml:space="preserve">I gallon Gasoline= 114,000 BTU/gallon </t>
  </si>
  <si>
    <t>Energy Content  of GGE( MJ)</t>
  </si>
  <si>
    <t>Carbon   of GGE( tons CO2e/year</t>
  </si>
  <si>
    <t>Energy Content  of DGE( MJ)</t>
  </si>
  <si>
    <t>0,114 MMBTU/gallon</t>
  </si>
  <si>
    <t>1 galloon diesel= 0.138 MMBTU/gallon</t>
  </si>
  <si>
    <t>1MMBTU= 1055.05585MJ</t>
  </si>
  <si>
    <t>Carbon   of DGE( tons CO2e/year</t>
  </si>
  <si>
    <t>Carbon Contetn Gasoline= 99.18 gCO@e/MJ</t>
  </si>
  <si>
    <t>Carbon Contetn Diesel=98.03 gCO2/MJ</t>
  </si>
  <si>
    <t>Biogas carbon Content total-= -17,178 tons CO2e/y</t>
  </si>
  <si>
    <t xml:space="preserve">Potential MJ/y
 </t>
  </si>
  <si>
    <t>MWh(AD&amp;Landfill)</t>
  </si>
  <si>
    <t>MWh(combustion)</t>
  </si>
  <si>
    <t>GGE /y</t>
  </si>
  <si>
    <t>Gallons/y(acid Hydrolysis)</t>
  </si>
  <si>
    <t>Gallons/y (Transesterification)</t>
  </si>
  <si>
    <t>Gallons/y (AD &amp; LAndfill Gas)</t>
  </si>
  <si>
    <t>GGE/y</t>
  </si>
  <si>
    <t>Mwhtotal</t>
  </si>
  <si>
    <t>Power (MWh) TOTAL</t>
  </si>
  <si>
    <t xml:space="preserve">FUELS (GGE) </t>
  </si>
  <si>
    <t>Transportation Fuel Potential Gasoline (TFP) equation</t>
  </si>
  <si>
    <t>DGE = D6*(1/1.136)</t>
  </si>
  <si>
    <t>GGE = A*506*7.2</t>
  </si>
  <si>
    <t>A= mmscf</t>
  </si>
  <si>
    <t>CO2EPA = A*0.9*1000000*0.5*(1012/1050)*0.12059/2000</t>
  </si>
  <si>
    <t>A*506*0.01939</t>
  </si>
  <si>
    <t>LFG-CNG(WTW):</t>
  </si>
  <si>
    <r>
      <t>7.2 - Transportation fuel production (GGE) per MMBtu</t>
    </r>
    <r>
      <rPr>
        <b/>
        <vertAlign val="superscript"/>
        <sz val="12"/>
        <color theme="1"/>
        <rFont val="Arial"/>
        <family val="2"/>
      </rPr>
      <t>1</t>
    </r>
    <r>
      <rPr>
        <b/>
        <sz val="12"/>
        <color theme="1"/>
        <rFont val="Arial"/>
        <family val="2"/>
      </rPr>
      <t xml:space="preserve"> (multiply)</t>
    </r>
  </si>
  <si>
    <r>
      <t>(1/1.136) - converting GGE to DGE, 1 DGE = 1.136 GGE</t>
    </r>
    <r>
      <rPr>
        <b/>
        <vertAlign val="superscript"/>
        <sz val="12"/>
        <color theme="1"/>
        <rFont val="Arial"/>
        <family val="2"/>
      </rPr>
      <t xml:space="preserve">2 </t>
    </r>
    <r>
      <rPr>
        <b/>
        <sz val="12"/>
        <color theme="1"/>
        <rFont val="Arial"/>
        <family val="2"/>
      </rPr>
      <t>(multiply)</t>
    </r>
  </si>
  <si>
    <r>
      <t>Potential CO</t>
    </r>
    <r>
      <rPr>
        <b/>
        <u/>
        <vertAlign val="subscript"/>
        <sz val="12"/>
        <color theme="1"/>
        <rFont val="Arial"/>
        <family val="2"/>
      </rPr>
      <t>2</t>
    </r>
    <r>
      <rPr>
        <b/>
        <u/>
        <sz val="12"/>
        <color theme="1"/>
        <rFont val="Arial"/>
        <family val="2"/>
      </rPr>
      <t xml:space="preserve"> Produced: EPA (CO2EPA) equation*</t>
    </r>
  </si>
  <si>
    <t>0.01939 tCO2e/MMBTU (multiply)*</t>
  </si>
  <si>
    <t>Fats &amp; Oils</t>
  </si>
  <si>
    <t>LATEST VERSION AS OF 12/31/2014</t>
  </si>
  <si>
    <r>
      <t>1) Bioenergy Calculator</t>
    </r>
    <r>
      <rPr>
        <sz val="12"/>
        <rFont val="Times New Roman"/>
        <family val="1"/>
      </rPr>
      <t xml:space="preserve"> – This worksheet is a summary of all resource, technology, efficiency and energy potential information.  This worksheet also functions as a bioenergy generation calculator for electricity and fuel generation. To operate the calculator, choose an electricity or fuel technology from one of the drop down cells at the top of the worksheet (B3 or B4). When a technology is selected the database automatically calculates the selected bioenergy output using only those feedstocks that are suitable for use with the particular technology selected. The estimated bioenergy potential for 2010, 2015, 2020 and 2025 will appear in MWh’s for electricity in cells C3, D3, E3 and F3, respectively, and in gallons of gasoline equivalent for fuels in cells C4, D4, E4 and F4, respectively. Energy generation potential (electricity and fuel) for each of the feedstocks can be found in the remaining cells on the worksheet. Only those feedstocks that are suitable for use with the selected technology will have an energy generation figure calculated for them.</t>
    </r>
  </si>
  <si>
    <t>Current gross quantity in dry tons of the state’s biomass can be found in cell C71. Total net usable quantity of biomass (reduced as result of the screening process described below) for 2010, 2015, 2020 and 2025 can be found in cells E71, F71, G71, and H71, respectively.</t>
  </si>
  <si>
    <r>
      <t>2) Bioproduction Estimates</t>
    </r>
    <r>
      <rPr>
        <sz val="12"/>
        <rFont val="Times New Roman"/>
        <family val="1"/>
      </rPr>
      <t xml:space="preserve"> – This worksheet contains five tables that summarize electricity and fuel generation for all New Jersey counties using two biopower technologies (Direct Combustion-Stand Alone for Solid Biomass) and three biofuel technologies ( Transesterification, Dilute cid Hydrolysis and Anaerobic Digestion-Landfill Gas to Transportatin Fuels).  This is a static worksheet and is for informational purposes only. It is not linked to the main Bioenergy Calculator worksheet, thus changes made here will not carry through the program. </t>
    </r>
  </si>
  <si>
    <r>
      <t xml:space="preserve">5)  Technology Assumptions: </t>
    </r>
    <r>
      <rPr>
        <sz val="12"/>
        <rFont val="Times New Roman"/>
        <family val="1"/>
      </rPr>
      <t xml:space="preserve">- This worksheet lists the efficiencies of the electricity generation and fuel production technologies used in this study, including projections for improved efficiencies through 2025.  Changes on this sheet can be made in the yellow highlighted sections to increase or decrease these figures.  This worksheet also includes conversion factors for the various fuels, which can be used to determine the gallons of gasoline equivalent (GGE).   </t>
    </r>
  </si>
  <si>
    <r>
      <t>10) Fuel Yields for Ethanol and Dilute Acid Hydrolysis</t>
    </r>
    <r>
      <rPr>
        <sz val="12"/>
        <rFont val="Times New Roman"/>
        <family val="1"/>
      </rPr>
      <t xml:space="preserve"> – This worksheet contains fuel yield assumptions for ethanol and dilute acid hydrolysis for each feedstock used with these technologies. Projections resulting from increases in technology efficiencies for 2010, 2015 and 2020 are also included. This is a static worksheet and is for informational purposes only. It is not linked to the main Bioenergy Calculator worksheet, thus changes made here will not carry through the program. </t>
    </r>
  </si>
  <si>
    <r>
      <t>11) Contact Information</t>
    </r>
    <r>
      <rPr>
        <sz val="12"/>
        <rFont val="Times New Roman"/>
        <family val="1"/>
      </rPr>
      <t xml:space="preserve"> – This worksheet contains contact information for all members of the project teams  for version 2.0 (2014) and version 1(2007). Questions regarding the use or contents of the database should be directed to Serpil Guran or David Specca.</t>
    </r>
  </si>
  <si>
    <r>
      <rPr>
        <b/>
        <sz val="12"/>
        <rFont val="Times New Roman"/>
        <family val="1"/>
      </rPr>
      <t xml:space="preserve">11- </t>
    </r>
    <r>
      <rPr>
        <b/>
        <u/>
        <sz val="12"/>
        <rFont val="Times New Roman"/>
        <family val="1"/>
      </rPr>
      <t>GHG</t>
    </r>
    <r>
      <rPr>
        <b/>
        <sz val="12"/>
        <rFont val="Times New Roman"/>
        <family val="1"/>
      </rPr>
      <t xml:space="preserve"> </t>
    </r>
    <r>
      <rPr>
        <b/>
        <u/>
        <sz val="12"/>
        <rFont val="Times New Roman"/>
        <family val="1"/>
      </rPr>
      <t>Estimates</t>
    </r>
    <r>
      <rPr>
        <b/>
        <sz val="12"/>
        <rFont val="Times New Roman"/>
        <family val="1"/>
      </rPr>
      <t xml:space="preserve">- </t>
    </r>
  </si>
  <si>
    <t xml:space="preserve">2013 C&amp;D Tonnage by County - provided by Patricia Elias, NJDEP, Division of Solid and Hazardous Waste  </t>
  </si>
  <si>
    <t>Collectibility Reduction (DT)</t>
  </si>
  <si>
    <t>Sortability Reduction (DT)</t>
  </si>
  <si>
    <t>Alt Use Reduction (DT)</t>
  </si>
  <si>
    <t>Practically Recoverable</t>
  </si>
  <si>
    <t>Solid Waste Based Biomass</t>
  </si>
  <si>
    <t>(check)</t>
  </si>
  <si>
    <t>COMMENT: Individual county amounts range from 128,000 to 611,000 dry tons for landfilled biomass.</t>
  </si>
  <si>
    <t xml:space="preserve">Landfilled* </t>
  </si>
  <si>
    <t>Landfilled and Incinerated Biomass Combined*</t>
  </si>
  <si>
    <t>* Values in these columns do not automatically update from changes to data in other parts of the database</t>
  </si>
  <si>
    <t>Current Gross Quantity (dry tons) 2010</t>
  </si>
  <si>
    <t>Wiltsee, G., 1998. Urban Waste Grease Resources Assessment. Prepared for National Renewable Energy Laboratory, US Department of Energy, Subcontract No. ACG-7-17090-01 under Prime Contract No. DE-AC36-83CH10093.</t>
  </si>
  <si>
    <t>2010 estimated population by county multiplied by 13.37 pounds/person/yr, Wiltsee, G., 1998. Urban Waste Grease Resources Assessment. Prepared for National Renewable Energy Laboratory, US Department of Energy, Subcontract No. ACG-7-17090-01 under Prime Contract No. DE-AC36-83CH10093.</t>
  </si>
  <si>
    <t>2010 estimated population by county multiplied by 8.80 pounds/person/yr, Wiltsee, G., 1998. Urban Waste Grease Resources Assessment. Prepared for National Renewable Energy Laboratory, US Department of Energy, Subcontract No. ACG-7-17090-01 under Prime Contract No. DE-AC36-83CH10093.</t>
  </si>
  <si>
    <t>Waste Based Bio-oils</t>
  </si>
  <si>
    <t>2010 estimated population by county multiplied by 8.80 pounds/person/yr, Wiltsee, G., 1998. Urban Waste Grease Resources Assessment. Prepared for National Renewable Energy Laboratory, US Department of Energy</t>
  </si>
  <si>
    <t>2010 estimated population by county multiplied by 13.37 pounds/person/yr, Wiltsee, G., 1998. Urban Waste Grease Resources Assessment. Prepared for National Renewable Energy Laboratory, US Department of Energy</t>
  </si>
  <si>
    <t>Gross Usable (Dry Tons)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</si>
</sst>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_(* \(#,##0.00\);_(* &quot;-&quot;??_);_(@_)"/>
    <numFmt numFmtId="164" formatCode="0.0"/>
    <numFmt numFmtId="165" formatCode="_(* #,##0.0_);_(* \(#,##0.0\);_(* &quot;-&quot;??_);_(@_)"/>
    <numFmt numFmtId="166" formatCode="_(* #,##0_);_(* \(#,##0\);_(* &quot;-&quot;??_);_(@_)"/>
    <numFmt numFmtId="167" formatCode="#,##0.0"/>
    <numFmt numFmtId="168" formatCode="_(* #,##0.000_);_(* \(#,##0.000\);_(* &quot;-&quot;??_);_(@_)"/>
    <numFmt numFmtId="169" formatCode="0.0%"/>
    <numFmt numFmtId="170" formatCode="\ "/>
    <numFmt numFmtId="171" formatCode="_(* #,##0.0000_);_(* \(#,##0.0000\);_(* &quot;-&quot;??_);_(@_)"/>
    <numFmt numFmtId="172" formatCode="0.0000%"/>
    <numFmt numFmtId="173" formatCode="0.000%"/>
    <numFmt numFmtId="174" formatCode="###\ ###\ ###"/>
    <numFmt numFmtId="175" formatCode="0.0000"/>
    <numFmt numFmtId="176" formatCode="#,##0.0000"/>
    <numFmt numFmtId="177" formatCode="#,##0.00000000"/>
    <numFmt numFmtId="178" formatCode="0.00_);[Red]\(0.00\)"/>
    <numFmt numFmtId="179" formatCode="#,##0.0_);[Red]\(#,##0.0\)"/>
  </numFmts>
  <fonts count="1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u/>
      <sz val="10"/>
      <name val="Arial"/>
      <family val="2"/>
    </font>
    <font>
      <b/>
      <i/>
      <sz val="10"/>
      <name val="Arial"/>
      <family val="2"/>
    </font>
    <font>
      <b/>
      <vertAlign val="superscript"/>
      <sz val="10"/>
      <name val="Arial"/>
      <family val="2"/>
    </font>
    <font>
      <sz val="10"/>
      <color indexed="8"/>
      <name val="Arial"/>
      <family val="2"/>
    </font>
    <font>
      <b/>
      <u/>
      <sz val="10"/>
      <color indexed="9"/>
      <name val="Arial"/>
      <family val="2"/>
    </font>
    <font>
      <u/>
      <sz val="10"/>
      <name val="Arial"/>
      <family val="2"/>
    </font>
    <font>
      <sz val="10"/>
      <color indexed="10"/>
      <name val="Arial"/>
      <family val="2"/>
    </font>
    <font>
      <u/>
      <sz val="10"/>
      <color indexed="12"/>
      <name val="Arial"/>
      <family val="2"/>
    </font>
    <font>
      <b/>
      <sz val="10"/>
      <color indexed="9"/>
      <name val="Arial"/>
      <family val="2"/>
    </font>
    <font>
      <sz val="10"/>
      <name val="Courier"/>
      <family val="3"/>
    </font>
    <font>
      <b/>
      <sz val="10"/>
      <color indexed="10"/>
      <name val="Arial"/>
      <family val="2"/>
    </font>
    <font>
      <sz val="10"/>
      <color indexed="9"/>
      <name val="Arial"/>
      <family val="2"/>
    </font>
    <font>
      <b/>
      <sz val="12"/>
      <color indexed="9"/>
      <name val="Arial"/>
      <family val="2"/>
    </font>
    <font>
      <b/>
      <sz val="12"/>
      <color indexed="9"/>
      <name val="Arial"/>
      <family val="2"/>
    </font>
    <font>
      <sz val="12"/>
      <color indexed="9"/>
      <name val="Arial"/>
      <family val="2"/>
    </font>
    <font>
      <sz val="12"/>
      <name val="Arial"/>
      <family val="2"/>
    </font>
    <font>
      <sz val="9"/>
      <name val="Arial"/>
      <family val="2"/>
    </font>
    <font>
      <sz val="8"/>
      <color indexed="81"/>
      <name val="Tahoma"/>
      <family val="2"/>
    </font>
    <font>
      <b/>
      <sz val="8"/>
      <color indexed="81"/>
      <name val="Tahoma"/>
      <family val="2"/>
    </font>
    <font>
      <i/>
      <sz val="10"/>
      <name val="Arial"/>
      <family val="2"/>
    </font>
    <font>
      <b/>
      <i/>
      <sz val="12"/>
      <name val="Arial"/>
      <family val="2"/>
    </font>
    <font>
      <sz val="8"/>
      <name val="Arial"/>
      <family val="2"/>
    </font>
    <font>
      <b/>
      <sz val="10"/>
      <name val="Times New Roman"/>
      <family val="1"/>
    </font>
    <font>
      <b/>
      <sz val="12"/>
      <name val="Times New Roman"/>
      <family val="1"/>
    </font>
    <font>
      <sz val="10"/>
      <name val="Times New Roman"/>
      <family val="1"/>
    </font>
    <font>
      <u/>
      <sz val="10"/>
      <name val="Times New Roman"/>
      <family val="1"/>
    </font>
    <font>
      <sz val="11"/>
      <name val="Times New Roman"/>
      <family val="1"/>
    </font>
    <font>
      <b/>
      <i/>
      <sz val="10"/>
      <name val="Times New Roman"/>
      <family val="1"/>
    </font>
    <font>
      <sz val="12"/>
      <name val="Times New Roman"/>
      <family val="1"/>
    </font>
    <font>
      <b/>
      <sz val="8"/>
      <name val="Arial"/>
      <family val="2"/>
    </font>
    <font>
      <u/>
      <sz val="10"/>
      <color indexed="12"/>
      <name val="Arial"/>
      <family val="2"/>
    </font>
    <font>
      <b/>
      <sz val="10"/>
      <name val="Arial"/>
      <family val="2"/>
    </font>
    <font>
      <sz val="10"/>
      <color indexed="8"/>
      <name val="Times New Roman"/>
      <family val="1"/>
    </font>
    <font>
      <b/>
      <sz val="10"/>
      <color indexed="81"/>
      <name val="Tahoma"/>
      <family val="2"/>
    </font>
    <font>
      <sz val="10"/>
      <color indexed="81"/>
      <name val="Tahoma"/>
      <family val="2"/>
    </font>
    <font>
      <b/>
      <sz val="11"/>
      <name val="Arial"/>
      <family val="2"/>
    </font>
    <font>
      <sz val="11"/>
      <name val="Arial"/>
      <family val="2"/>
    </font>
    <font>
      <sz val="11"/>
      <color indexed="9"/>
      <name val="Arial"/>
      <family val="2"/>
    </font>
    <font>
      <b/>
      <u/>
      <sz val="12"/>
      <name val="Arial"/>
      <family val="2"/>
    </font>
    <font>
      <b/>
      <sz val="12"/>
      <name val="Arial"/>
      <family val="2"/>
    </font>
    <font>
      <b/>
      <sz val="14"/>
      <name val="Times New Roman"/>
      <family val="1"/>
    </font>
    <font>
      <vertAlign val="superscript"/>
      <sz val="10"/>
      <name val="Times New Roman"/>
      <family val="1"/>
    </font>
    <font>
      <b/>
      <u/>
      <sz val="12"/>
      <name val="Times New Roman"/>
      <family val="1"/>
    </font>
    <font>
      <vertAlign val="superscript"/>
      <sz val="11"/>
      <name val="Times New Roman"/>
      <family val="1"/>
    </font>
    <font>
      <sz val="12"/>
      <name val="Palatino Linotype"/>
      <family val="1"/>
    </font>
    <font>
      <sz val="7"/>
      <name val="Times New Roman"/>
      <family val="1"/>
    </font>
    <font>
      <i/>
      <sz val="12"/>
      <name val="Times New Roman"/>
      <family val="1"/>
    </font>
    <font>
      <b/>
      <u/>
      <vertAlign val="superscript"/>
      <sz val="11"/>
      <name val="Times New Roman"/>
      <family val="1"/>
    </font>
    <font>
      <sz val="9"/>
      <color indexed="81"/>
      <name val="Tahoma"/>
      <family val="2"/>
    </font>
    <font>
      <b/>
      <sz val="9"/>
      <color indexed="81"/>
      <name val="Tahoma"/>
      <family val="2"/>
    </font>
    <font>
      <sz val="10"/>
      <color theme="0" tint="-0.249977111117893"/>
      <name val="Arial"/>
      <family val="2"/>
    </font>
    <font>
      <b/>
      <sz val="10"/>
      <color theme="0" tint="-0.249977111117893"/>
      <name val="Arial"/>
      <family val="2"/>
    </font>
    <font>
      <b/>
      <sz val="10"/>
      <color theme="0"/>
      <name val="Arial"/>
      <family val="2"/>
    </font>
    <font>
      <sz val="14"/>
      <color theme="0"/>
      <name val="Times New Roman"/>
      <family val="1"/>
    </font>
    <font>
      <b/>
      <vertAlign val="superscript"/>
      <sz val="12"/>
      <color indexed="9"/>
      <name val="Arial"/>
      <family val="2"/>
    </font>
    <font>
      <u/>
      <sz val="10"/>
      <color indexed="12"/>
      <name val="Times New Roman"/>
      <family val="1"/>
    </font>
    <font>
      <vertAlign val="superscript"/>
      <sz val="10"/>
      <name val="Arial"/>
      <family val="2"/>
    </font>
    <font>
      <sz val="9"/>
      <color theme="1"/>
      <name val="Calibri"/>
      <family val="2"/>
      <scheme val="minor"/>
    </font>
    <font>
      <b/>
      <sz val="9"/>
      <name val="Arial"/>
      <family val="2"/>
    </font>
    <font>
      <b/>
      <vertAlign val="superscript"/>
      <sz val="9"/>
      <name val="Arial"/>
      <family val="2"/>
    </font>
    <font>
      <vertAlign val="subscript"/>
      <sz val="9"/>
      <name val="Arial"/>
      <family val="2"/>
    </font>
    <font>
      <sz val="9"/>
      <name val="Calibri"/>
      <family val="2"/>
      <scheme val="minor"/>
    </font>
    <font>
      <b/>
      <sz val="10"/>
      <color indexed="8"/>
      <name val="Times New Roman"/>
      <family val="1"/>
    </font>
    <font>
      <vertAlign val="subscript"/>
      <sz val="9"/>
      <color indexed="81"/>
      <name val="Tahoma"/>
      <family val="2"/>
    </font>
    <font>
      <b/>
      <vertAlign val="superscript"/>
      <sz val="10"/>
      <color theme="0"/>
      <name val="Arial"/>
      <family val="2"/>
    </font>
    <font>
      <sz val="11"/>
      <color theme="1"/>
      <name val="Arial"/>
      <family val="2"/>
    </font>
    <font>
      <sz val="10"/>
      <color theme="1"/>
      <name val="Arial"/>
      <family val="2"/>
    </font>
    <font>
      <u/>
      <sz val="9"/>
      <color theme="1"/>
      <name val="Arial"/>
      <family val="2"/>
    </font>
    <font>
      <sz val="9"/>
      <color theme="1"/>
      <name val="Arial"/>
      <family val="2"/>
    </font>
    <font>
      <vertAlign val="superscript"/>
      <sz val="9"/>
      <color theme="1"/>
      <name val="Arial"/>
      <family val="2"/>
    </font>
    <font>
      <u/>
      <vertAlign val="subscript"/>
      <sz val="9"/>
      <color theme="1"/>
      <name val="Arial"/>
      <family val="2"/>
    </font>
    <font>
      <vertAlign val="subscript"/>
      <sz val="9"/>
      <color theme="1"/>
      <name val="Arial"/>
      <family val="2"/>
    </font>
    <font>
      <b/>
      <u/>
      <sz val="10"/>
      <color theme="1"/>
      <name val="Arial"/>
      <family val="2"/>
    </font>
    <font>
      <b/>
      <sz val="10"/>
      <color theme="1"/>
      <name val="Arial"/>
      <family val="2"/>
    </font>
    <font>
      <b/>
      <vertAlign val="subscript"/>
      <sz val="10"/>
      <color theme="0"/>
      <name val="Arial"/>
      <family val="2"/>
    </font>
    <font>
      <i/>
      <sz val="9"/>
      <color theme="1"/>
      <name val="Arial"/>
      <family val="2"/>
    </font>
    <font>
      <b/>
      <sz val="12"/>
      <color theme="0"/>
      <name val="Arial"/>
      <family val="2"/>
    </font>
    <font>
      <b/>
      <vertAlign val="superscript"/>
      <sz val="12"/>
      <color theme="0"/>
      <name val="Arial"/>
      <family val="2"/>
    </font>
    <font>
      <u/>
      <sz val="10"/>
      <color theme="1"/>
      <name val="Arial"/>
      <family val="2"/>
    </font>
    <font>
      <sz val="24"/>
      <name val="Arial"/>
      <family val="2"/>
    </font>
    <font>
      <b/>
      <sz val="11"/>
      <color theme="0"/>
      <name val="Calibri"/>
      <family val="2"/>
      <scheme val="minor"/>
    </font>
    <font>
      <b/>
      <sz val="11"/>
      <color theme="1"/>
      <name val="Calibri"/>
      <family val="2"/>
      <scheme val="minor"/>
    </font>
    <font>
      <sz val="11"/>
      <color theme="0"/>
      <name val="Calibri"/>
      <family val="2"/>
      <scheme val="minor"/>
    </font>
    <font>
      <sz val="9"/>
      <color rgb="FFFF0000"/>
      <name val="Arial"/>
      <family val="2"/>
    </font>
    <font>
      <vertAlign val="subscript"/>
      <sz val="9"/>
      <color rgb="FFFF0000"/>
      <name val="Arial"/>
      <family val="2"/>
    </font>
    <font>
      <vertAlign val="superscript"/>
      <sz val="9"/>
      <color rgb="FFFF0000"/>
      <name val="Arial"/>
      <family val="2"/>
    </font>
    <font>
      <b/>
      <sz val="8"/>
      <color theme="0"/>
      <name val="Arial"/>
      <family val="2"/>
    </font>
    <font>
      <b/>
      <sz val="11"/>
      <color indexed="9"/>
      <name val="Arial"/>
      <family val="2"/>
    </font>
    <font>
      <b/>
      <sz val="11"/>
      <color theme="0"/>
      <name val="Arial"/>
      <family val="2"/>
    </font>
    <font>
      <sz val="11"/>
      <color rgb="FFFF0000"/>
      <name val="Calibri"/>
      <family val="2"/>
      <scheme val="minor"/>
    </font>
    <font>
      <u/>
      <sz val="9"/>
      <color rgb="FFFF0000"/>
      <name val="Arial"/>
      <family val="2"/>
    </font>
    <font>
      <sz val="10"/>
      <color rgb="FFFF0000"/>
      <name val="Arial"/>
      <family val="2"/>
    </font>
    <font>
      <u/>
      <vertAlign val="subscript"/>
      <sz val="9"/>
      <color rgb="FFFF0000"/>
      <name val="Arial"/>
      <family val="2"/>
    </font>
    <font>
      <i/>
      <sz val="9"/>
      <color rgb="FFFF0000"/>
      <name val="Arial"/>
      <family val="2"/>
    </font>
    <font>
      <sz val="10"/>
      <color theme="5"/>
      <name val="Arial"/>
      <family val="2"/>
    </font>
    <font>
      <b/>
      <sz val="10"/>
      <color theme="5"/>
      <name val="Arial"/>
      <family val="2"/>
    </font>
    <font>
      <sz val="10"/>
      <color rgb="FFFF0000"/>
      <name val="Arial"/>
      <family val="2"/>
    </font>
    <font>
      <b/>
      <sz val="10"/>
      <color rgb="FFFF0000"/>
      <name val="Arial"/>
      <family val="2"/>
    </font>
    <font>
      <b/>
      <sz val="11"/>
      <color rgb="FFFF0000"/>
      <name val="Calibri"/>
      <family val="2"/>
      <scheme val="minor"/>
    </font>
    <font>
      <b/>
      <sz val="11"/>
      <color theme="0"/>
      <name val="Times New Roman"/>
      <family val="1"/>
    </font>
    <font>
      <sz val="11"/>
      <color theme="1"/>
      <name val="Times New Roman"/>
      <family val="1"/>
    </font>
    <font>
      <b/>
      <sz val="11"/>
      <color theme="1"/>
      <name val="Times New Roman"/>
      <family val="1"/>
    </font>
    <font>
      <b/>
      <sz val="9"/>
      <color theme="0"/>
      <name val="Arial"/>
      <family val="2"/>
    </font>
    <font>
      <b/>
      <sz val="12"/>
      <color theme="1"/>
      <name val="Arial"/>
      <family val="2"/>
    </font>
    <font>
      <b/>
      <sz val="12"/>
      <color theme="1"/>
      <name val="Calibri"/>
      <family val="2"/>
      <scheme val="minor"/>
    </font>
    <font>
      <b/>
      <vertAlign val="superscript"/>
      <sz val="12"/>
      <color theme="1"/>
      <name val="Arial"/>
      <family val="2"/>
    </font>
    <font>
      <b/>
      <u/>
      <sz val="12"/>
      <color theme="1"/>
      <name val="Arial"/>
      <family val="2"/>
    </font>
    <font>
      <b/>
      <u/>
      <vertAlign val="subscript"/>
      <sz val="12"/>
      <color theme="1"/>
      <name val="Arial"/>
      <family val="2"/>
    </font>
    <font>
      <b/>
      <sz val="9"/>
      <color theme="1"/>
      <name val="Arial"/>
      <family val="2"/>
    </font>
    <font>
      <b/>
      <sz val="11"/>
      <color theme="1"/>
      <name val="Arial"/>
      <family val="2"/>
    </font>
    <font>
      <b/>
      <sz val="12"/>
      <color theme="1"/>
      <name val="Times New Roman"/>
      <family val="1"/>
    </font>
    <font>
      <sz val="10"/>
      <color theme="0"/>
      <name val="Arial"/>
      <family val="2"/>
    </font>
    <font>
      <b/>
      <sz val="10"/>
      <color theme="0"/>
      <name val="Calibri"/>
      <family val="2"/>
      <scheme val="minor"/>
    </font>
  </fonts>
  <fills count="2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8"/>
        <bgColor indexed="64"/>
      </patternFill>
    </fill>
    <fill>
      <patternFill patternType="solid">
        <fgColor indexed="22"/>
        <bgColor indexed="64"/>
      </patternFill>
    </fill>
    <fill>
      <patternFill patternType="solid">
        <fgColor indexed="8"/>
        <bgColor indexed="64"/>
      </patternFill>
    </fill>
    <fill>
      <patternFill patternType="solid">
        <fgColor indexed="47"/>
        <bgColor indexed="64"/>
      </patternFill>
    </fill>
    <fill>
      <patternFill patternType="solid">
        <fgColor indexed="12"/>
        <bgColor indexed="64"/>
      </patternFill>
    </fill>
    <fill>
      <patternFill patternType="solid">
        <fgColor indexed="10"/>
        <bgColor indexed="64"/>
      </patternFill>
    </fill>
    <fill>
      <patternFill patternType="gray0625">
        <bgColor indexed="22"/>
      </patternFill>
    </fill>
    <fill>
      <patternFill patternType="solid">
        <fgColor rgb="FF00FF00"/>
        <bgColor indexed="64"/>
      </patternFill>
    </fill>
    <fill>
      <patternFill patternType="solid">
        <fgColor theme="0" tint="-0.249977111117893"/>
        <bgColor indexed="64"/>
      </patternFill>
    </fill>
    <fill>
      <patternFill patternType="solid">
        <fgColor rgb="FF0066FF"/>
        <bgColor indexed="64"/>
      </patternFill>
    </fill>
    <fill>
      <patternFill patternType="solid">
        <fgColor theme="4" tint="-0.249977111117893"/>
        <bgColor indexed="64"/>
      </patternFill>
    </fill>
    <fill>
      <patternFill patternType="solid">
        <fgColor rgb="FFFFFF99"/>
        <bgColor indexed="64"/>
      </patternFill>
    </fill>
    <fill>
      <patternFill patternType="solid">
        <fgColor theme="0"/>
        <bgColor indexed="64"/>
      </patternFill>
    </fill>
    <fill>
      <patternFill patternType="solid">
        <fgColor theme="9" tint="0.39997558519241921"/>
        <bgColor indexed="64"/>
      </patternFill>
    </fill>
    <fill>
      <patternFill patternType="solid">
        <fgColor theme="1"/>
        <bgColor indexed="64"/>
      </patternFill>
    </fill>
    <fill>
      <patternFill patternType="solid">
        <fgColor rgb="FFFFCC99"/>
        <bgColor indexed="64"/>
      </patternFill>
    </fill>
    <fill>
      <patternFill patternType="solid">
        <fgColor rgb="FF3366FF"/>
        <bgColor indexed="64"/>
      </patternFill>
    </fill>
    <fill>
      <patternFill patternType="solid">
        <fgColor rgb="FFFFC000"/>
        <bgColor indexed="64"/>
      </patternFill>
    </fill>
    <fill>
      <patternFill patternType="solid">
        <fgColor rgb="FFFF0000"/>
        <bgColor indexed="64"/>
      </patternFill>
    </fill>
    <fill>
      <patternFill patternType="solid">
        <fgColor rgb="FF00CC00"/>
        <bgColor indexed="64"/>
      </patternFill>
    </fill>
    <fill>
      <patternFill patternType="solid">
        <fgColor theme="3"/>
        <bgColor indexed="64"/>
      </patternFill>
    </fill>
    <fill>
      <patternFill patternType="solid">
        <fgColor rgb="FFFFFF66"/>
        <bgColor indexed="64"/>
      </patternFill>
    </fill>
    <fill>
      <patternFill patternType="solid">
        <fgColor rgb="FFFFFFCC"/>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diagonal/>
    </border>
    <border>
      <left/>
      <right/>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double">
        <color indexed="64"/>
      </bottom>
      <diagonal/>
    </border>
  </borders>
  <cellStyleXfs count="8">
    <xf numFmtId="0" fontId="0" fillId="0" borderId="0"/>
    <xf numFmtId="43" fontId="14" fillId="0" borderId="0" applyFont="0" applyFill="0" applyBorder="0" applyAlignment="0" applyProtection="0"/>
    <xf numFmtId="0" fontId="24" fillId="0" borderId="0" applyNumberFormat="0" applyFill="0" applyBorder="0" applyAlignment="0" applyProtection="0">
      <alignment vertical="top"/>
      <protection locked="0"/>
    </xf>
    <xf numFmtId="0" fontId="20" fillId="0" borderId="0"/>
    <xf numFmtId="9" fontId="14" fillId="0" borderId="0" applyFont="0" applyFill="0" applyBorder="0" applyAlignment="0" applyProtection="0"/>
    <xf numFmtId="0" fontId="13" fillId="0" borderId="0"/>
    <xf numFmtId="0" fontId="12" fillId="0" borderId="0"/>
    <xf numFmtId="0" fontId="14" fillId="0" borderId="0"/>
  </cellStyleXfs>
  <cellXfs count="1241">
    <xf numFmtId="0" fontId="0" fillId="0" borderId="0" xfId="0"/>
    <xf numFmtId="0" fontId="0" fillId="0" borderId="1" xfId="0" applyBorder="1"/>
    <xf numFmtId="0" fontId="0" fillId="0" borderId="1" xfId="0" applyFill="1" applyBorder="1"/>
    <xf numFmtId="0" fontId="0" fillId="0" borderId="0" xfId="0" applyFill="1" applyBorder="1"/>
    <xf numFmtId="0" fontId="15" fillId="0" borderId="1" xfId="0" applyFont="1" applyFill="1" applyBorder="1"/>
    <xf numFmtId="0" fontId="0" fillId="2" borderId="0" xfId="0" applyFill="1" applyBorder="1"/>
    <xf numFmtId="0" fontId="0" fillId="2" borderId="0" xfId="0" applyFill="1" applyBorder="1" applyAlignment="1">
      <alignment wrapText="1"/>
    </xf>
    <xf numFmtId="0" fontId="0" fillId="2" borderId="1" xfId="0" applyFill="1" applyBorder="1"/>
    <xf numFmtId="0" fontId="0" fillId="2" borderId="0" xfId="0" applyFill="1" applyBorder="1" applyAlignment="1"/>
    <xf numFmtId="0" fontId="18" fillId="0" borderId="1" xfId="0" applyFont="1" applyFill="1" applyBorder="1" applyAlignment="1">
      <alignment horizontal="right"/>
    </xf>
    <xf numFmtId="0" fontId="0" fillId="2" borderId="2" xfId="0" applyFill="1" applyBorder="1"/>
    <xf numFmtId="0" fontId="0" fillId="0" borderId="1" xfId="0" applyBorder="1" applyAlignment="1">
      <alignment horizontal="left" indent="1"/>
    </xf>
    <xf numFmtId="0" fontId="0" fillId="0" borderId="1" xfId="0" applyFill="1" applyBorder="1" applyAlignment="1">
      <alignment horizontal="left" indent="1"/>
    </xf>
    <xf numFmtId="3" fontId="0" fillId="2" borderId="1" xfId="0" applyNumberFormat="1" applyFill="1" applyBorder="1"/>
    <xf numFmtId="9" fontId="14" fillId="0" borderId="1" xfId="4" applyFill="1" applyBorder="1"/>
    <xf numFmtId="1" fontId="0" fillId="2" borderId="1" xfId="0" applyNumberFormat="1" applyFill="1" applyBorder="1"/>
    <xf numFmtId="166" fontId="0" fillId="2" borderId="1" xfId="1" applyNumberFormat="1" applyFont="1" applyFill="1" applyBorder="1"/>
    <xf numFmtId="0" fontId="15" fillId="0" borderId="1" xfId="0" applyFont="1" applyFill="1" applyBorder="1" applyAlignment="1">
      <alignment horizontal="left" indent="1"/>
    </xf>
    <xf numFmtId="166" fontId="0" fillId="2" borderId="1" xfId="0" applyNumberFormat="1" applyFill="1" applyBorder="1"/>
    <xf numFmtId="166" fontId="18" fillId="2" borderId="1" xfId="1" applyNumberFormat="1" applyFont="1" applyFill="1" applyBorder="1"/>
    <xf numFmtId="0" fontId="17" fillId="0" borderId="0" xfId="0" applyFont="1"/>
    <xf numFmtId="3" fontId="14" fillId="3" borderId="1" xfId="1" applyNumberFormat="1" applyFont="1" applyFill="1" applyBorder="1"/>
    <xf numFmtId="0" fontId="21" fillId="4" borderId="1" xfId="0" applyFont="1" applyFill="1" applyBorder="1" applyAlignment="1">
      <alignment horizontal="center" wrapText="1"/>
    </xf>
    <xf numFmtId="3" fontId="14" fillId="0" borderId="1" xfId="1" applyNumberFormat="1" applyFont="1" applyFill="1" applyBorder="1"/>
    <xf numFmtId="0" fontId="0" fillId="3" borderId="1" xfId="0" applyFill="1" applyBorder="1"/>
    <xf numFmtId="9" fontId="14" fillId="3" borderId="1" xfId="4" applyFill="1" applyBorder="1"/>
    <xf numFmtId="9" fontId="14" fillId="3" borderId="1" xfId="4" applyFont="1" applyFill="1" applyBorder="1"/>
    <xf numFmtId="166" fontId="14" fillId="2" borderId="1" xfId="1" applyNumberFormat="1" applyFill="1" applyBorder="1"/>
    <xf numFmtId="166" fontId="0" fillId="2" borderId="0" xfId="1" applyNumberFormat="1" applyFont="1" applyFill="1" applyBorder="1"/>
    <xf numFmtId="9" fontId="0" fillId="0" borderId="0" xfId="4" applyFont="1" applyFill="1" applyBorder="1"/>
    <xf numFmtId="167" fontId="14" fillId="0" borderId="0" xfId="1" applyNumberFormat="1" applyFont="1" applyFill="1" applyBorder="1"/>
    <xf numFmtId="166" fontId="0" fillId="0" borderId="0" xfId="1" applyNumberFormat="1" applyFont="1" applyFill="1" applyBorder="1"/>
    <xf numFmtId="43" fontId="0" fillId="0" borderId="0" xfId="1" applyNumberFormat="1" applyFont="1" applyFill="1" applyBorder="1"/>
    <xf numFmtId="168" fontId="0" fillId="0" borderId="0" xfId="1" applyNumberFormat="1" applyFont="1" applyFill="1" applyBorder="1"/>
    <xf numFmtId="165" fontId="0" fillId="0" borderId="0" xfId="1" applyNumberFormat="1" applyFont="1" applyFill="1" applyBorder="1"/>
    <xf numFmtId="0" fontId="17" fillId="5" borderId="0" xfId="0" applyFont="1" applyFill="1" applyBorder="1"/>
    <xf numFmtId="0" fontId="0" fillId="5" borderId="0" xfId="0" applyFill="1" applyBorder="1"/>
    <xf numFmtId="0" fontId="16" fillId="5" borderId="1" xfId="0" applyFont="1" applyFill="1" applyBorder="1" applyAlignment="1">
      <alignment horizontal="center" wrapText="1"/>
    </xf>
    <xf numFmtId="0" fontId="16" fillId="5" borderId="0" xfId="0" applyFont="1" applyFill="1" applyBorder="1" applyAlignment="1">
      <alignment horizontal="center" wrapText="1"/>
    </xf>
    <xf numFmtId="0" fontId="16" fillId="5" borderId="1" xfId="0" applyFont="1" applyFill="1" applyBorder="1"/>
    <xf numFmtId="3" fontId="14" fillId="5" borderId="1" xfId="1" applyNumberFormat="1" applyFont="1" applyFill="1" applyBorder="1"/>
    <xf numFmtId="3" fontId="14" fillId="5" borderId="0" xfId="1" applyNumberFormat="1" applyFont="1" applyFill="1" applyBorder="1"/>
    <xf numFmtId="0" fontId="16" fillId="5" borderId="0" xfId="0" applyFont="1" applyFill="1" applyBorder="1" applyAlignment="1">
      <alignment horizontal="center"/>
    </xf>
    <xf numFmtId="0" fontId="16" fillId="5" borderId="0" xfId="0" applyFont="1" applyFill="1" applyBorder="1"/>
    <xf numFmtId="166" fontId="14" fillId="5" borderId="0" xfId="1" applyNumberFormat="1" applyFill="1" applyBorder="1"/>
    <xf numFmtId="0" fontId="0" fillId="5" borderId="0" xfId="0" applyFill="1" applyBorder="1" applyAlignment="1">
      <alignment horizontal="left" indent="1"/>
    </xf>
    <xf numFmtId="0" fontId="16" fillId="5" borderId="0" xfId="0" applyFont="1" applyFill="1" applyBorder="1" applyAlignment="1">
      <alignment horizontal="left" indent="1"/>
    </xf>
    <xf numFmtId="3" fontId="0" fillId="5" borderId="0" xfId="0" applyNumberFormat="1" applyFill="1" applyBorder="1"/>
    <xf numFmtId="3" fontId="16" fillId="5" borderId="0" xfId="1" applyNumberFormat="1" applyFont="1" applyFill="1" applyBorder="1"/>
    <xf numFmtId="0" fontId="14" fillId="5" borderId="1" xfId="0" applyFont="1" applyFill="1" applyBorder="1"/>
    <xf numFmtId="0" fontId="20" fillId="5" borderId="1" xfId="3" applyFont="1" applyFill="1" applyBorder="1" applyAlignment="1"/>
    <xf numFmtId="0" fontId="0" fillId="0" borderId="0" xfId="0" applyBorder="1"/>
    <xf numFmtId="0" fontId="0" fillId="0" borderId="0" xfId="0" applyBorder="1" applyAlignment="1"/>
    <xf numFmtId="0" fontId="0" fillId="0" borderId="0" xfId="0" applyBorder="1" applyAlignment="1">
      <alignment horizontal="center" wrapText="1"/>
    </xf>
    <xf numFmtId="0" fontId="21" fillId="0" borderId="0" xfId="0" applyFont="1" applyFill="1" applyBorder="1" applyAlignment="1">
      <alignment horizontal="center" wrapText="1"/>
    </xf>
    <xf numFmtId="0" fontId="0" fillId="0" borderId="0" xfId="0" applyFill="1" applyBorder="1" applyAlignment="1"/>
    <xf numFmtId="0" fontId="22" fillId="0" borderId="0" xfId="0" applyFont="1"/>
    <xf numFmtId="0" fontId="15" fillId="0" borderId="0" xfId="0" applyFont="1"/>
    <xf numFmtId="0" fontId="0" fillId="3" borderId="0" xfId="0" applyFill="1"/>
    <xf numFmtId="0" fontId="16" fillId="0" borderId="0" xfId="0" applyFont="1" applyFill="1" applyBorder="1" applyAlignment="1">
      <alignment horizontal="center" wrapText="1"/>
    </xf>
    <xf numFmtId="0" fontId="16" fillId="0" borderId="0" xfId="0" applyFont="1" applyFill="1" applyBorder="1" applyAlignment="1">
      <alignment horizontal="centerContinuous"/>
    </xf>
    <xf numFmtId="0" fontId="0" fillId="5" borderId="1" xfId="0" applyFill="1" applyBorder="1"/>
    <xf numFmtId="0" fontId="0" fillId="0" borderId="3" xfId="0" applyBorder="1" applyAlignment="1"/>
    <xf numFmtId="0" fontId="0" fillId="0" borderId="0" xfId="0" applyBorder="1" applyAlignment="1">
      <alignment horizontal="left" indent="1"/>
    </xf>
    <xf numFmtId="0" fontId="0" fillId="0" borderId="0" xfId="0" applyFill="1" applyBorder="1" applyAlignment="1">
      <alignment horizontal="left" indent="1"/>
    </xf>
    <xf numFmtId="0" fontId="0" fillId="0" borderId="3" xfId="0" applyBorder="1"/>
    <xf numFmtId="2" fontId="0" fillId="0" borderId="0" xfId="0" applyNumberFormat="1" applyBorder="1"/>
    <xf numFmtId="0" fontId="0" fillId="0" borderId="0" xfId="0" applyFill="1" applyAlignment="1"/>
    <xf numFmtId="0" fontId="0" fillId="0" borderId="4" xfId="0" applyBorder="1"/>
    <xf numFmtId="2" fontId="0" fillId="0" borderId="3" xfId="0" applyNumberFormat="1" applyBorder="1"/>
    <xf numFmtId="0" fontId="0" fillId="0" borderId="4" xfId="0" applyBorder="1" applyAlignment="1"/>
    <xf numFmtId="0" fontId="0" fillId="2" borderId="1" xfId="1" applyNumberFormat="1" applyFont="1" applyFill="1" applyBorder="1"/>
    <xf numFmtId="1" fontId="16" fillId="5" borderId="0" xfId="0" applyNumberFormat="1" applyFont="1" applyFill="1" applyBorder="1"/>
    <xf numFmtId="0" fontId="14" fillId="0" borderId="4" xfId="0" applyFont="1" applyBorder="1"/>
    <xf numFmtId="0" fontId="14" fillId="0" borderId="0" xfId="0" applyFont="1" applyBorder="1"/>
    <xf numFmtId="0" fontId="14" fillId="0" borderId="3" xfId="0" applyFont="1" applyBorder="1"/>
    <xf numFmtId="0" fontId="24" fillId="0" borderId="0" xfId="2" applyAlignment="1" applyProtection="1"/>
    <xf numFmtId="164" fontId="14" fillId="0" borderId="4" xfId="0" applyNumberFormat="1" applyFont="1" applyBorder="1"/>
    <xf numFmtId="164" fontId="14" fillId="0" borderId="0" xfId="0" applyNumberFormat="1" applyFont="1" applyBorder="1"/>
    <xf numFmtId="164" fontId="14" fillId="0" borderId="3" xfId="0" applyNumberFormat="1" applyFont="1" applyBorder="1"/>
    <xf numFmtId="0" fontId="16" fillId="0" borderId="0" xfId="0" applyFont="1"/>
    <xf numFmtId="0" fontId="16" fillId="0" borderId="5" xfId="0" applyFont="1" applyBorder="1"/>
    <xf numFmtId="0" fontId="16" fillId="0" borderId="6" xfId="0" applyFont="1" applyBorder="1" applyAlignment="1">
      <alignment horizontal="center"/>
    </xf>
    <xf numFmtId="0" fontId="0" fillId="6" borderId="0" xfId="0" applyFill="1"/>
    <xf numFmtId="0" fontId="0" fillId="6" borderId="0" xfId="0" applyFill="1" applyBorder="1"/>
    <xf numFmtId="3" fontId="14" fillId="3" borderId="0" xfId="1" applyNumberFormat="1" applyFont="1" applyFill="1" applyBorder="1"/>
    <xf numFmtId="3" fontId="16" fillId="3" borderId="0" xfId="1" applyNumberFormat="1" applyFont="1" applyFill="1" applyBorder="1"/>
    <xf numFmtId="4" fontId="20" fillId="3" borderId="1" xfId="3" applyNumberFormat="1" applyFont="1" applyFill="1" applyBorder="1" applyAlignment="1">
      <alignment horizontal="right"/>
    </xf>
    <xf numFmtId="164" fontId="0" fillId="0" borderId="0" xfId="0" applyNumberFormat="1" applyBorder="1"/>
    <xf numFmtId="164" fontId="0" fillId="0" borderId="3" xfId="0" applyNumberFormat="1" applyBorder="1"/>
    <xf numFmtId="9" fontId="0" fillId="3" borderId="1" xfId="4" applyFont="1" applyFill="1" applyBorder="1"/>
    <xf numFmtId="0" fontId="0" fillId="0" borderId="0" xfId="0" applyBorder="1" applyAlignment="1">
      <alignment horizontal="center"/>
    </xf>
    <xf numFmtId="9" fontId="0" fillId="0" borderId="1" xfId="4" applyFont="1" applyFill="1" applyBorder="1"/>
    <xf numFmtId="0" fontId="25" fillId="4" borderId="7" xfId="0" applyFont="1" applyFill="1" applyBorder="1"/>
    <xf numFmtId="0" fontId="25" fillId="4" borderId="8" xfId="0" applyFont="1" applyFill="1" applyBorder="1"/>
    <xf numFmtId="0" fontId="25" fillId="4" borderId="9" xfId="0" applyFont="1" applyFill="1" applyBorder="1"/>
    <xf numFmtId="0" fontId="0" fillId="0" borderId="10" xfId="0" applyBorder="1"/>
    <xf numFmtId="0" fontId="0" fillId="0" borderId="10" xfId="0" applyBorder="1" applyAlignment="1">
      <alignment wrapText="1"/>
    </xf>
    <xf numFmtId="0" fontId="0" fillId="7" borderId="13" xfId="0" applyFill="1" applyBorder="1"/>
    <xf numFmtId="0" fontId="0" fillId="7" borderId="14" xfId="0" applyFill="1" applyBorder="1"/>
    <xf numFmtId="0" fontId="0" fillId="3" borderId="11" xfId="0" applyFill="1" applyBorder="1"/>
    <xf numFmtId="0" fontId="25" fillId="4" borderId="8" xfId="0" applyFont="1" applyFill="1" applyBorder="1" applyAlignment="1">
      <alignment horizontal="center" wrapText="1"/>
    </xf>
    <xf numFmtId="0" fontId="25" fillId="4" borderId="9" xfId="0" applyFont="1" applyFill="1" applyBorder="1" applyAlignment="1">
      <alignment horizontal="center" wrapText="1"/>
    </xf>
    <xf numFmtId="0" fontId="0" fillId="7" borderId="13" xfId="0" applyFill="1" applyBorder="1" applyAlignment="1">
      <alignment horizontal="left" indent="1"/>
    </xf>
    <xf numFmtId="0" fontId="24" fillId="0" borderId="10" xfId="2" applyBorder="1" applyAlignment="1" applyProtection="1"/>
    <xf numFmtId="0" fontId="15" fillId="7" borderId="13" xfId="0" applyFont="1" applyFill="1" applyBorder="1"/>
    <xf numFmtId="0" fontId="15" fillId="7" borderId="13" xfId="0" applyFont="1" applyFill="1" applyBorder="1" applyAlignment="1">
      <alignment horizontal="left" indent="1"/>
    </xf>
    <xf numFmtId="0" fontId="0" fillId="7" borderId="13" xfId="0" applyFill="1" applyBorder="1" applyAlignment="1">
      <alignment horizontal="left" indent="2"/>
    </xf>
    <xf numFmtId="0" fontId="15" fillId="7" borderId="14" xfId="0" applyFont="1" applyFill="1" applyBorder="1"/>
    <xf numFmtId="0" fontId="0" fillId="0" borderId="11" xfId="0" applyBorder="1"/>
    <xf numFmtId="0" fontId="24" fillId="0" borderId="12" xfId="2" applyBorder="1" applyAlignment="1" applyProtection="1"/>
    <xf numFmtId="9" fontId="14" fillId="0" borderId="11" xfId="4" applyFont="1" applyFill="1" applyBorder="1"/>
    <xf numFmtId="0" fontId="25" fillId="4" borderId="15" xfId="0" applyFont="1" applyFill="1" applyBorder="1"/>
    <xf numFmtId="0" fontId="0" fillId="0" borderId="16" xfId="0" applyFill="1" applyBorder="1"/>
    <xf numFmtId="9" fontId="0" fillId="0" borderId="16" xfId="4" applyFont="1" applyFill="1" applyBorder="1"/>
    <xf numFmtId="169" fontId="0" fillId="0" borderId="16" xfId="4" applyNumberFormat="1" applyFont="1" applyFill="1" applyBorder="1"/>
    <xf numFmtId="0" fontId="0" fillId="6" borderId="18" xfId="0" applyFill="1" applyBorder="1"/>
    <xf numFmtId="2" fontId="0" fillId="6" borderId="0" xfId="0" applyNumberFormat="1" applyFill="1" applyBorder="1"/>
    <xf numFmtId="166" fontId="0" fillId="6" borderId="0" xfId="1" applyNumberFormat="1" applyFont="1" applyFill="1" applyBorder="1"/>
    <xf numFmtId="43" fontId="0" fillId="6" borderId="0" xfId="1" applyNumberFormat="1" applyFont="1" applyFill="1" applyBorder="1"/>
    <xf numFmtId="0" fontId="16" fillId="0" borderId="0" xfId="0" applyFont="1" applyFill="1" applyBorder="1" applyAlignment="1">
      <alignment horizontal="left"/>
    </xf>
    <xf numFmtId="0" fontId="0" fillId="0" borderId="0" xfId="0" applyAlignment="1">
      <alignment horizontal="left" indent="1"/>
    </xf>
    <xf numFmtId="3" fontId="16" fillId="5" borderId="0" xfId="1" applyNumberFormat="1" applyFont="1" applyFill="1" applyBorder="1" applyAlignment="1">
      <alignment horizontal="center"/>
    </xf>
    <xf numFmtId="4" fontId="14" fillId="5" borderId="0" xfId="1" applyNumberFormat="1" applyFont="1" applyFill="1" applyBorder="1"/>
    <xf numFmtId="9" fontId="0" fillId="0" borderId="1" xfId="0" applyNumberFormat="1" applyBorder="1"/>
    <xf numFmtId="9" fontId="0" fillId="3" borderId="1" xfId="0" applyNumberFormat="1" applyFill="1" applyBorder="1"/>
    <xf numFmtId="1" fontId="0" fillId="3" borderId="1" xfId="0" applyNumberFormat="1" applyFill="1" applyBorder="1"/>
    <xf numFmtId="9" fontId="0" fillId="0" borderId="11" xfId="0" applyNumberFormat="1" applyBorder="1"/>
    <xf numFmtId="0" fontId="23" fillId="0" borderId="0" xfId="0" applyFont="1"/>
    <xf numFmtId="0" fontId="14" fillId="0" borderId="1" xfId="0" applyFont="1" applyFill="1" applyBorder="1"/>
    <xf numFmtId="0" fontId="14" fillId="0" borderId="1" xfId="0" applyFont="1" applyBorder="1"/>
    <xf numFmtId="0" fontId="0" fillId="0" borderId="0" xfId="0" applyAlignment="1">
      <alignment horizontal="center"/>
    </xf>
    <xf numFmtId="166" fontId="16" fillId="0" borderId="0" xfId="0" applyNumberFormat="1" applyFont="1"/>
    <xf numFmtId="0" fontId="14" fillId="0" borderId="1" xfId="0" applyFont="1" applyFill="1" applyBorder="1" applyAlignment="1">
      <alignment horizontal="left" indent="1"/>
    </xf>
    <xf numFmtId="43" fontId="0" fillId="0" borderId="0" xfId="0" applyNumberFormat="1"/>
    <xf numFmtId="2" fontId="0" fillId="0" borderId="0" xfId="0" applyNumberFormat="1" applyFill="1" applyBorder="1"/>
    <xf numFmtId="2" fontId="0" fillId="0" borderId="3" xfId="0" applyNumberFormat="1" applyFill="1" applyBorder="1"/>
    <xf numFmtId="2" fontId="14" fillId="0" borderId="0" xfId="0" applyNumberFormat="1" applyFont="1" applyBorder="1"/>
    <xf numFmtId="2" fontId="14" fillId="0" borderId="3" xfId="0" applyNumberFormat="1" applyFont="1" applyBorder="1"/>
    <xf numFmtId="0" fontId="16" fillId="0" borderId="19" xfId="0" applyFont="1" applyBorder="1"/>
    <xf numFmtId="0" fontId="0" fillId="0" borderId="20" xfId="0" applyBorder="1"/>
    <xf numFmtId="166" fontId="0" fillId="0" borderId="0" xfId="1" applyNumberFormat="1" applyFont="1" applyBorder="1"/>
    <xf numFmtId="166" fontId="0" fillId="0" borderId="2" xfId="1" applyNumberFormat="1" applyFont="1" applyBorder="1"/>
    <xf numFmtId="166" fontId="18" fillId="0" borderId="1" xfId="0" applyNumberFormat="1" applyFont="1" applyBorder="1"/>
    <xf numFmtId="0" fontId="0" fillId="0" borderId="25" xfId="0" applyBorder="1"/>
    <xf numFmtId="10" fontId="0" fillId="0" borderId="0" xfId="0" applyNumberFormat="1" applyBorder="1" applyAlignment="1">
      <alignment horizontal="center"/>
    </xf>
    <xf numFmtId="164" fontId="0" fillId="0" borderId="0" xfId="0" applyNumberFormat="1" applyBorder="1" applyAlignment="1">
      <alignment horizontal="center"/>
    </xf>
    <xf numFmtId="0" fontId="0" fillId="0" borderId="3" xfId="0" applyBorder="1" applyAlignment="1">
      <alignment horizontal="center"/>
    </xf>
    <xf numFmtId="0" fontId="0" fillId="0" borderId="1" xfId="0" applyBorder="1" applyAlignment="1">
      <alignment horizontal="left"/>
    </xf>
    <xf numFmtId="0" fontId="0" fillId="7" borderId="13" xfId="0" applyFill="1" applyBorder="1" applyAlignment="1">
      <alignment horizontal="left"/>
    </xf>
    <xf numFmtId="0" fontId="14" fillId="5" borderId="0" xfId="0" applyFont="1" applyFill="1" applyBorder="1"/>
    <xf numFmtId="0" fontId="20" fillId="5" borderId="0" xfId="3" applyFont="1" applyFill="1" applyBorder="1" applyAlignment="1"/>
    <xf numFmtId="166" fontId="0" fillId="0" borderId="27" xfId="1" applyNumberFormat="1" applyFont="1" applyBorder="1"/>
    <xf numFmtId="166" fontId="0" fillId="0" borderId="28" xfId="1" applyNumberFormat="1" applyFont="1" applyBorder="1"/>
    <xf numFmtId="0" fontId="25" fillId="8" borderId="14" xfId="0" applyFont="1" applyFill="1" applyBorder="1" applyAlignment="1">
      <alignment horizontal="center"/>
    </xf>
    <xf numFmtId="166" fontId="0" fillId="0" borderId="29" xfId="1" applyNumberFormat="1" applyFont="1" applyBorder="1"/>
    <xf numFmtId="0" fontId="21" fillId="4" borderId="6" xfId="0" applyFont="1" applyFill="1" applyBorder="1" applyAlignment="1">
      <alignment horizontal="center" wrapText="1"/>
    </xf>
    <xf numFmtId="165" fontId="0" fillId="6" borderId="0" xfId="1" applyNumberFormat="1" applyFont="1" applyFill="1" applyBorder="1"/>
    <xf numFmtId="165" fontId="0" fillId="0" borderId="4" xfId="0" applyNumberFormat="1" applyBorder="1"/>
    <xf numFmtId="165" fontId="0" fillId="0" borderId="0" xfId="0" applyNumberFormat="1" applyBorder="1"/>
    <xf numFmtId="165" fontId="0" fillId="0" borderId="3" xfId="0" applyNumberFormat="1" applyBorder="1"/>
    <xf numFmtId="165" fontId="0" fillId="6" borderId="0" xfId="0" applyNumberFormat="1" applyFill="1" applyBorder="1"/>
    <xf numFmtId="0" fontId="16" fillId="3" borderId="30" xfId="0" applyFont="1" applyFill="1" applyBorder="1" applyAlignment="1">
      <alignment horizontal="right"/>
    </xf>
    <xf numFmtId="166" fontId="0" fillId="0" borderId="31" xfId="1" applyNumberFormat="1" applyFont="1" applyBorder="1"/>
    <xf numFmtId="0" fontId="16" fillId="3" borderId="32" xfId="0" applyFont="1" applyFill="1" applyBorder="1" applyAlignment="1">
      <alignment horizontal="left"/>
    </xf>
    <xf numFmtId="0" fontId="16" fillId="3" borderId="19" xfId="0" applyFont="1" applyFill="1" applyBorder="1" applyAlignment="1">
      <alignment horizontal="left"/>
    </xf>
    <xf numFmtId="0" fontId="16" fillId="3" borderId="27" xfId="0" applyFont="1" applyFill="1" applyBorder="1" applyAlignment="1">
      <alignment horizontal="left"/>
    </xf>
    <xf numFmtId="166" fontId="0" fillId="0" borderId="27" xfId="1" applyNumberFormat="1" applyFont="1" applyFill="1" applyBorder="1"/>
    <xf numFmtId="166" fontId="0" fillId="0" borderId="33" xfId="1" applyNumberFormat="1" applyFont="1" applyFill="1" applyBorder="1"/>
    <xf numFmtId="0" fontId="25" fillId="4" borderId="1" xfId="0" applyFont="1" applyFill="1" applyBorder="1" applyAlignment="1">
      <alignment horizontal="center"/>
    </xf>
    <xf numFmtId="0" fontId="25" fillId="4" borderId="1" xfId="0" applyFont="1" applyFill="1" applyBorder="1" applyAlignment="1">
      <alignment wrapText="1"/>
    </xf>
    <xf numFmtId="0" fontId="25" fillId="4" borderId="1" xfId="0" applyFont="1" applyFill="1" applyBorder="1" applyAlignment="1">
      <alignment horizontal="center" vertical="center" wrapText="1"/>
    </xf>
    <xf numFmtId="0" fontId="0" fillId="0" borderId="21" xfId="0" applyBorder="1"/>
    <xf numFmtId="0" fontId="16" fillId="3" borderId="21" xfId="0" applyFont="1" applyFill="1" applyBorder="1"/>
    <xf numFmtId="0" fontId="16" fillId="3" borderId="34" xfId="0" applyFont="1" applyFill="1" applyBorder="1"/>
    <xf numFmtId="0" fontId="16" fillId="3" borderId="22" xfId="0" applyFont="1" applyFill="1" applyBorder="1"/>
    <xf numFmtId="166" fontId="16" fillId="0" borderId="2" xfId="0" applyNumberFormat="1" applyFont="1" applyBorder="1"/>
    <xf numFmtId="0" fontId="25" fillId="4" borderId="13" xfId="0" applyFont="1" applyFill="1" applyBorder="1" applyAlignment="1">
      <alignment wrapText="1"/>
    </xf>
    <xf numFmtId="0" fontId="25" fillId="4" borderId="10" xfId="0" applyFont="1" applyFill="1" applyBorder="1" applyAlignment="1">
      <alignment horizontal="center" vertical="center" wrapText="1"/>
    </xf>
    <xf numFmtId="0" fontId="25" fillId="4" borderId="36" xfId="0" applyFont="1" applyFill="1" applyBorder="1"/>
    <xf numFmtId="0" fontId="29" fillId="4" borderId="19" xfId="0" applyFont="1" applyFill="1" applyBorder="1"/>
    <xf numFmtId="0" fontId="15" fillId="0" borderId="36" xfId="0" applyFont="1" applyBorder="1"/>
    <xf numFmtId="170" fontId="15" fillId="0" borderId="21" xfId="0" applyNumberFormat="1" applyFont="1" applyBorder="1"/>
    <xf numFmtId="0" fontId="16" fillId="0" borderId="37" xfId="0" applyFont="1" applyBorder="1" applyAlignment="1">
      <alignment horizontal="center"/>
    </xf>
    <xf numFmtId="0" fontId="16" fillId="0" borderId="13" xfId="0" applyFont="1" applyBorder="1" applyAlignment="1">
      <alignment horizontal="center" wrapText="1"/>
    </xf>
    <xf numFmtId="0" fontId="16" fillId="0" borderId="14" xfId="0" applyFont="1" applyBorder="1" applyAlignment="1">
      <alignment horizontal="center" wrapText="1"/>
    </xf>
    <xf numFmtId="0" fontId="0" fillId="0" borderId="14" xfId="0" applyBorder="1"/>
    <xf numFmtId="0" fontId="16" fillId="0" borderId="7" xfId="0" applyFont="1" applyFill="1" applyBorder="1" applyAlignment="1">
      <alignment horizontal="center"/>
    </xf>
    <xf numFmtId="0" fontId="16" fillId="0" borderId="8" xfId="0" applyFont="1" applyFill="1" applyBorder="1" applyAlignment="1">
      <alignment horizontal="center" wrapText="1"/>
    </xf>
    <xf numFmtId="0" fontId="16" fillId="0" borderId="9" xfId="0" applyFont="1" applyFill="1" applyBorder="1" applyAlignment="1">
      <alignment horizontal="center" wrapText="1"/>
    </xf>
    <xf numFmtId="0" fontId="16" fillId="0" borderId="13" xfId="0" applyFont="1" applyFill="1" applyBorder="1"/>
    <xf numFmtId="0" fontId="0" fillId="0" borderId="10" xfId="0" applyFill="1" applyBorder="1"/>
    <xf numFmtId="0" fontId="0" fillId="0" borderId="13" xfId="0" applyFill="1" applyBorder="1" applyAlignment="1">
      <alignment horizontal="left" indent="1"/>
    </xf>
    <xf numFmtId="0" fontId="16" fillId="0" borderId="14" xfId="0" applyFont="1" applyFill="1" applyBorder="1"/>
    <xf numFmtId="0" fontId="16" fillId="0" borderId="7" xfId="0" applyFont="1" applyFill="1" applyBorder="1" applyAlignment="1">
      <alignment horizontal="center" wrapText="1"/>
    </xf>
    <xf numFmtId="167" fontId="14" fillId="3" borderId="10" xfId="1" applyNumberFormat="1" applyFont="1" applyFill="1" applyBorder="1"/>
    <xf numFmtId="167" fontId="14" fillId="3" borderId="12" xfId="1" applyNumberFormat="1" applyFont="1" applyFill="1" applyBorder="1"/>
    <xf numFmtId="0" fontId="16" fillId="0" borderId="13" xfId="0" applyFont="1" applyBorder="1"/>
    <xf numFmtId="0" fontId="16" fillId="0" borderId="14" xfId="0" applyFont="1" applyBorder="1"/>
    <xf numFmtId="0" fontId="28" fillId="0" borderId="0" xfId="0" applyFont="1" applyBorder="1"/>
    <xf numFmtId="0" fontId="0" fillId="0" borderId="2" xfId="0" applyBorder="1"/>
    <xf numFmtId="0" fontId="0" fillId="0" borderId="2" xfId="0" applyBorder="1" applyAlignment="1">
      <alignment horizontal="center"/>
    </xf>
    <xf numFmtId="0" fontId="27" fillId="0" borderId="2" xfId="0" applyFont="1" applyBorder="1" applyAlignment="1">
      <alignment horizontal="center"/>
    </xf>
    <xf numFmtId="10" fontId="0" fillId="0" borderId="20" xfId="0" applyNumberFormat="1" applyBorder="1" applyAlignment="1">
      <alignment horizontal="center"/>
    </xf>
    <xf numFmtId="164" fontId="0" fillId="0" borderId="20" xfId="0" applyNumberFormat="1" applyBorder="1" applyAlignment="1">
      <alignment horizontal="center"/>
    </xf>
    <xf numFmtId="0" fontId="27" fillId="0" borderId="23" xfId="0" applyFont="1" applyBorder="1" applyAlignment="1">
      <alignment horizontal="center"/>
    </xf>
    <xf numFmtId="0" fontId="25" fillId="4" borderId="38" xfId="0" applyFont="1" applyFill="1" applyBorder="1" applyAlignment="1">
      <alignment horizontal="center"/>
    </xf>
    <xf numFmtId="0" fontId="25" fillId="4" borderId="39" xfId="0" applyFont="1" applyFill="1" applyBorder="1" applyAlignment="1">
      <alignment horizontal="center"/>
    </xf>
    <xf numFmtId="0" fontId="0" fillId="3" borderId="21" xfId="0" applyFill="1" applyBorder="1"/>
    <xf numFmtId="0" fontId="0" fillId="3" borderId="22" xfId="0" applyFill="1" applyBorder="1"/>
    <xf numFmtId="2" fontId="0" fillId="0" borderId="1" xfId="0" applyNumberFormat="1" applyBorder="1" applyAlignment="1">
      <alignment horizontal="center"/>
    </xf>
    <xf numFmtId="2" fontId="0" fillId="0" borderId="40" xfId="0" applyNumberFormat="1" applyBorder="1" applyAlignment="1">
      <alignment horizontal="center"/>
    </xf>
    <xf numFmtId="10" fontId="0" fillId="0" borderId="13" xfId="0" applyNumberFormat="1" applyBorder="1" applyAlignment="1">
      <alignment horizontal="center"/>
    </xf>
    <xf numFmtId="10" fontId="0" fillId="0" borderId="10" xfId="0" applyNumberFormat="1" applyBorder="1" applyAlignment="1">
      <alignment horizontal="center"/>
    </xf>
    <xf numFmtId="9" fontId="0" fillId="0" borderId="13" xfId="0" applyNumberFormat="1" applyBorder="1" applyAlignment="1">
      <alignment horizontal="center"/>
    </xf>
    <xf numFmtId="9" fontId="0" fillId="0" borderId="10" xfId="0" applyNumberFormat="1" applyBorder="1" applyAlignment="1">
      <alignment horizontal="center"/>
    </xf>
    <xf numFmtId="2" fontId="0" fillId="0" borderId="13" xfId="0" applyNumberFormat="1" applyBorder="1" applyAlignment="1">
      <alignment horizontal="center"/>
    </xf>
    <xf numFmtId="2" fontId="0" fillId="0" borderId="10" xfId="0" applyNumberFormat="1" applyBorder="1" applyAlignment="1">
      <alignment horizontal="center"/>
    </xf>
    <xf numFmtId="0" fontId="23" fillId="0" borderId="11" xfId="0" applyFont="1" applyBorder="1" applyAlignment="1">
      <alignment horizontal="right"/>
    </xf>
    <xf numFmtId="2" fontId="0" fillId="0" borderId="12" xfId="0" applyNumberFormat="1" applyBorder="1"/>
    <xf numFmtId="2" fontId="0" fillId="0" borderId="11" xfId="0" applyNumberFormat="1" applyBorder="1"/>
    <xf numFmtId="0" fontId="0" fillId="0" borderId="41" xfId="0" applyBorder="1"/>
    <xf numFmtId="0" fontId="0" fillId="0" borderId="14" xfId="0" applyBorder="1" applyAlignment="1">
      <alignment horizontal="center"/>
    </xf>
    <xf numFmtId="0" fontId="0" fillId="0" borderId="12" xfId="0" applyBorder="1" applyAlignment="1">
      <alignment horizontal="center"/>
    </xf>
    <xf numFmtId="0" fontId="25" fillId="4" borderId="7" xfId="0" applyFont="1" applyFill="1" applyBorder="1" applyAlignment="1">
      <alignment horizontal="center"/>
    </xf>
    <xf numFmtId="0" fontId="25" fillId="4" borderId="9" xfId="0" applyFont="1" applyFill="1" applyBorder="1" applyAlignment="1">
      <alignment horizontal="center"/>
    </xf>
    <xf numFmtId="0" fontId="25" fillId="4" borderId="13" xfId="0" applyFont="1" applyFill="1" applyBorder="1" applyAlignment="1">
      <alignment horizontal="center"/>
    </xf>
    <xf numFmtId="0" fontId="25" fillId="4" borderId="10" xfId="0" applyFont="1" applyFill="1" applyBorder="1" applyAlignment="1">
      <alignment horizontal="center"/>
    </xf>
    <xf numFmtId="0" fontId="25" fillId="4" borderId="40" xfId="0" applyFont="1" applyFill="1" applyBorder="1" applyAlignment="1">
      <alignment horizontal="center"/>
    </xf>
    <xf numFmtId="0" fontId="0" fillId="7" borderId="1" xfId="0" applyFill="1" applyBorder="1"/>
    <xf numFmtId="164" fontId="0" fillId="7" borderId="1" xfId="0" applyNumberFormat="1" applyFill="1" applyBorder="1"/>
    <xf numFmtId="2" fontId="0" fillId="7" borderId="11" xfId="0" applyNumberFormat="1" applyFill="1" applyBorder="1"/>
    <xf numFmtId="0" fontId="25" fillId="4" borderId="21" xfId="0" applyFont="1" applyFill="1" applyBorder="1"/>
    <xf numFmtId="0" fontId="0" fillId="0" borderId="0" xfId="0" applyBorder="1" applyAlignment="1">
      <alignment horizontal="centerContinuous"/>
    </xf>
    <xf numFmtId="2" fontId="0" fillId="0" borderId="0" xfId="0" applyNumberFormat="1" applyBorder="1" applyAlignment="1">
      <alignment horizontal="centerContinuous"/>
    </xf>
    <xf numFmtId="0" fontId="21" fillId="6" borderId="42" xfId="0" applyFont="1" applyFill="1" applyBorder="1" applyAlignment="1">
      <alignment horizontal="center" wrapText="1"/>
    </xf>
    <xf numFmtId="0" fontId="0" fillId="6" borderId="42" xfId="0" applyFill="1" applyBorder="1" applyAlignment="1">
      <alignment horizontal="center" wrapText="1"/>
    </xf>
    <xf numFmtId="165" fontId="0" fillId="0" borderId="20" xfId="0" applyNumberFormat="1" applyBorder="1"/>
    <xf numFmtId="0" fontId="14" fillId="0" borderId="20" xfId="0" applyFont="1" applyBorder="1"/>
    <xf numFmtId="164" fontId="14" fillId="0" borderId="20" xfId="0" applyNumberFormat="1" applyFont="1" applyBorder="1"/>
    <xf numFmtId="0" fontId="0" fillId="0" borderId="20" xfId="0" applyBorder="1" applyAlignment="1">
      <alignment horizontal="centerContinuous"/>
    </xf>
    <xf numFmtId="0" fontId="15" fillId="0" borderId="11" xfId="0" applyFont="1" applyFill="1" applyBorder="1" applyAlignment="1">
      <alignment horizontal="left" indent="1"/>
    </xf>
    <xf numFmtId="166" fontId="0" fillId="0" borderId="2" xfId="1" applyNumberFormat="1" applyFont="1" applyFill="1" applyBorder="1"/>
    <xf numFmtId="43" fontId="0" fillId="0" borderId="2" xfId="1" applyNumberFormat="1" applyFont="1" applyFill="1" applyBorder="1"/>
    <xf numFmtId="43" fontId="0" fillId="6" borderId="2" xfId="1" applyNumberFormat="1" applyFont="1" applyFill="1" applyBorder="1"/>
    <xf numFmtId="2" fontId="0" fillId="0" borderId="2" xfId="0" applyNumberFormat="1" applyBorder="1"/>
    <xf numFmtId="2" fontId="0" fillId="0" borderId="43" xfId="0" applyNumberFormat="1" applyBorder="1"/>
    <xf numFmtId="0" fontId="0" fillId="6" borderId="2" xfId="0" applyFill="1" applyBorder="1"/>
    <xf numFmtId="164" fontId="14" fillId="0" borderId="44" xfId="0" applyNumberFormat="1" applyFont="1" applyBorder="1"/>
    <xf numFmtId="164" fontId="14" fillId="0" borderId="2" xfId="0" applyNumberFormat="1" applyFont="1" applyBorder="1"/>
    <xf numFmtId="164" fontId="14" fillId="0" borderId="43" xfId="0" applyNumberFormat="1" applyFont="1" applyBorder="1"/>
    <xf numFmtId="0" fontId="0" fillId="0" borderId="43" xfId="0" applyBorder="1"/>
    <xf numFmtId="164" fontId="14" fillId="0" borderId="0" xfId="0" applyNumberFormat="1" applyFont="1" applyBorder="1" applyAlignment="1">
      <alignment horizontal="center"/>
    </xf>
    <xf numFmtId="164" fontId="23" fillId="0" borderId="0" xfId="0" applyNumberFormat="1" applyFont="1" applyBorder="1" applyAlignment="1">
      <alignment horizontal="center"/>
    </xf>
    <xf numFmtId="165" fontId="0" fillId="0" borderId="0" xfId="0" applyNumberFormat="1" applyBorder="1" applyAlignment="1">
      <alignment horizontal="center"/>
    </xf>
    <xf numFmtId="164" fontId="14" fillId="0" borderId="3" xfId="0" applyNumberFormat="1" applyFont="1" applyBorder="1" applyAlignment="1">
      <alignment horizontal="center"/>
    </xf>
    <xf numFmtId="164" fontId="23" fillId="0" borderId="3" xfId="0" applyNumberFormat="1" applyFont="1" applyBorder="1" applyAlignment="1">
      <alignment horizontal="center"/>
    </xf>
    <xf numFmtId="164" fontId="0" fillId="0" borderId="3" xfId="0" applyNumberFormat="1" applyBorder="1" applyAlignment="1">
      <alignment horizontal="center"/>
    </xf>
    <xf numFmtId="165" fontId="0" fillId="0" borderId="3" xfId="0" applyNumberFormat="1" applyBorder="1" applyAlignment="1">
      <alignment horizontal="center"/>
    </xf>
    <xf numFmtId="164" fontId="0" fillId="0" borderId="0" xfId="0" applyNumberFormat="1" applyFill="1" applyBorder="1" applyAlignment="1">
      <alignment horizontal="center"/>
    </xf>
    <xf numFmtId="0" fontId="21" fillId="4" borderId="37" xfId="0" applyFont="1" applyFill="1" applyBorder="1" applyAlignment="1">
      <alignment horizontal="center" wrapText="1"/>
    </xf>
    <xf numFmtId="0" fontId="0" fillId="0" borderId="43" xfId="0" applyBorder="1" applyAlignment="1">
      <alignment horizontal="center"/>
    </xf>
    <xf numFmtId="164" fontId="14" fillId="0" borderId="23" xfId="0" applyNumberFormat="1" applyFont="1" applyBorder="1"/>
    <xf numFmtId="0" fontId="25" fillId="4" borderId="16" xfId="0" applyFont="1" applyFill="1" applyBorder="1" applyAlignment="1">
      <alignment wrapText="1"/>
    </xf>
    <xf numFmtId="166" fontId="0" fillId="0" borderId="0" xfId="0" applyNumberFormat="1"/>
    <xf numFmtId="166" fontId="0" fillId="0" borderId="0" xfId="1" applyNumberFormat="1" applyFont="1"/>
    <xf numFmtId="9" fontId="0" fillId="0" borderId="0" xfId="4" applyFont="1"/>
    <xf numFmtId="164" fontId="0" fillId="0" borderId="0" xfId="0" applyNumberFormat="1"/>
    <xf numFmtId="1" fontId="0" fillId="0" borderId="0" xfId="0" applyNumberFormat="1"/>
    <xf numFmtId="0" fontId="0" fillId="0" borderId="0" xfId="0" applyAlignment="1">
      <alignment horizontal="right"/>
    </xf>
    <xf numFmtId="0" fontId="16" fillId="0" borderId="0" xfId="0" applyFont="1" applyAlignment="1">
      <alignment horizontal="right"/>
    </xf>
    <xf numFmtId="0" fontId="0" fillId="0" borderId="38" xfId="0" applyBorder="1"/>
    <xf numFmtId="0" fontId="33" fillId="0" borderId="36" xfId="0" applyFont="1" applyBorder="1"/>
    <xf numFmtId="0" fontId="0" fillId="0" borderId="0" xfId="0" applyAlignment="1"/>
    <xf numFmtId="0" fontId="25" fillId="8" borderId="12" xfId="0" applyFont="1" applyFill="1" applyBorder="1" applyAlignment="1">
      <alignment horizontal="center" wrapText="1"/>
    </xf>
    <xf numFmtId="0" fontId="25" fillId="8" borderId="17" xfId="0" applyFont="1" applyFill="1" applyBorder="1" applyAlignment="1">
      <alignment horizontal="center" wrapText="1"/>
    </xf>
    <xf numFmtId="166" fontId="0" fillId="0" borderId="1" xfId="1" applyNumberFormat="1" applyFont="1" applyBorder="1"/>
    <xf numFmtId="166" fontId="0" fillId="0" borderId="47" xfId="1" applyNumberFormat="1" applyFont="1" applyBorder="1"/>
    <xf numFmtId="166" fontId="0" fillId="0" borderId="48" xfId="1" applyNumberFormat="1" applyFont="1" applyFill="1" applyBorder="1"/>
    <xf numFmtId="166" fontId="0" fillId="0" borderId="49" xfId="1" applyNumberFormat="1" applyFont="1" applyBorder="1"/>
    <xf numFmtId="166" fontId="0" fillId="0" borderId="50" xfId="1" applyNumberFormat="1" applyFont="1" applyBorder="1"/>
    <xf numFmtId="166" fontId="0" fillId="0" borderId="16" xfId="1" applyNumberFormat="1" applyFont="1" applyBorder="1"/>
    <xf numFmtId="166" fontId="0" fillId="0" borderId="51" xfId="1" applyNumberFormat="1" applyFont="1" applyFill="1" applyBorder="1"/>
    <xf numFmtId="166" fontId="0" fillId="0" borderId="33" xfId="1" applyNumberFormat="1" applyFont="1" applyBorder="1"/>
    <xf numFmtId="166" fontId="0" fillId="0" borderId="52" xfId="1" applyNumberFormat="1" applyFont="1" applyBorder="1"/>
    <xf numFmtId="166" fontId="0" fillId="0" borderId="40" xfId="1" applyNumberFormat="1" applyFont="1" applyBorder="1"/>
    <xf numFmtId="166" fontId="0" fillId="0" borderId="53" xfId="1" applyNumberFormat="1" applyFont="1" applyFill="1" applyBorder="1"/>
    <xf numFmtId="166" fontId="0" fillId="0" borderId="54" xfId="1" applyNumberFormat="1" applyFont="1" applyBorder="1"/>
    <xf numFmtId="166" fontId="0" fillId="0" borderId="43" xfId="1" applyNumberFormat="1" applyFont="1" applyBorder="1"/>
    <xf numFmtId="0" fontId="16" fillId="0" borderId="0" xfId="0" applyFont="1" applyFill="1" applyBorder="1" applyAlignment="1">
      <alignment horizontal="left" indent="1"/>
    </xf>
    <xf numFmtId="0" fontId="0" fillId="0" borderId="0" xfId="0" applyAlignment="1">
      <alignment vertical="top"/>
    </xf>
    <xf numFmtId="171" fontId="0" fillId="0" borderId="0" xfId="0" applyNumberFormat="1"/>
    <xf numFmtId="166" fontId="27" fillId="0" borderId="0" xfId="1" applyNumberFormat="1" applyFont="1" applyFill="1" applyBorder="1" applyAlignment="1">
      <alignment horizontal="right"/>
    </xf>
    <xf numFmtId="0" fontId="27" fillId="0" borderId="0" xfId="0" applyFont="1"/>
    <xf numFmtId="3" fontId="0" fillId="2" borderId="1" xfId="1" applyNumberFormat="1" applyFont="1" applyFill="1" applyBorder="1"/>
    <xf numFmtId="3" fontId="18" fillId="2" borderId="1" xfId="1" applyNumberFormat="1" applyFont="1" applyFill="1" applyBorder="1"/>
    <xf numFmtId="3" fontId="0" fillId="2" borderId="0" xfId="1" applyNumberFormat="1" applyFont="1" applyFill="1" applyBorder="1"/>
    <xf numFmtId="3" fontId="0" fillId="0" borderId="1" xfId="1" applyNumberFormat="1" applyFont="1" applyFill="1" applyBorder="1"/>
    <xf numFmtId="3" fontId="16" fillId="2" borderId="1" xfId="0" applyNumberFormat="1" applyFont="1" applyFill="1" applyBorder="1" applyAlignment="1">
      <alignment horizontal="center"/>
    </xf>
    <xf numFmtId="3" fontId="14" fillId="2" borderId="1" xfId="1" applyNumberFormat="1" applyFill="1" applyBorder="1"/>
    <xf numFmtId="3" fontId="14" fillId="0" borderId="1" xfId="1" applyNumberFormat="1" applyFill="1" applyBorder="1"/>
    <xf numFmtId="0" fontId="0" fillId="0" borderId="0" xfId="0" applyAlignment="1">
      <alignment wrapText="1"/>
    </xf>
    <xf numFmtId="0" fontId="0" fillId="0" borderId="39" xfId="0" applyBorder="1"/>
    <xf numFmtId="166" fontId="16" fillId="0" borderId="0" xfId="1" applyNumberFormat="1" applyFont="1" applyBorder="1"/>
    <xf numFmtId="166" fontId="0" fillId="0" borderId="0" xfId="0" applyNumberFormat="1" applyFill="1" applyBorder="1"/>
    <xf numFmtId="166" fontId="16" fillId="0" borderId="0" xfId="0" applyNumberFormat="1" applyFont="1" applyFill="1" applyBorder="1"/>
    <xf numFmtId="0" fontId="36" fillId="0" borderId="0" xfId="0" applyFont="1" applyFill="1" applyBorder="1"/>
    <xf numFmtId="168" fontId="0" fillId="0" borderId="0" xfId="0" applyNumberFormat="1" applyFill="1" applyBorder="1"/>
    <xf numFmtId="9" fontId="14" fillId="0" borderId="0" xfId="4" applyFill="1" applyBorder="1"/>
    <xf numFmtId="9" fontId="14" fillId="0" borderId="0" xfId="4" applyFont="1" applyFill="1" applyBorder="1"/>
    <xf numFmtId="3" fontId="16" fillId="2" borderId="1" xfId="1" applyNumberFormat="1" applyFont="1" applyFill="1" applyBorder="1" applyAlignment="1">
      <alignment horizontal="center"/>
    </xf>
    <xf numFmtId="3" fontId="18" fillId="2" borderId="1" xfId="1" applyNumberFormat="1" applyFont="1" applyFill="1" applyBorder="1" applyAlignment="1">
      <alignment horizontal="right"/>
    </xf>
    <xf numFmtId="43" fontId="0" fillId="0" borderId="0" xfId="1" applyFont="1" applyFill="1" applyBorder="1"/>
    <xf numFmtId="0" fontId="36" fillId="0" borderId="0" xfId="0" applyFont="1" applyBorder="1"/>
    <xf numFmtId="1" fontId="0" fillId="0" borderId="0" xfId="0" applyNumberFormat="1" applyBorder="1"/>
    <xf numFmtId="0" fontId="0" fillId="0" borderId="3" xfId="0" applyFill="1" applyBorder="1"/>
    <xf numFmtId="164" fontId="14" fillId="0" borderId="0" xfId="0" applyNumberFormat="1" applyFont="1" applyFill="1" applyBorder="1"/>
    <xf numFmtId="0" fontId="25" fillId="9" borderId="16" xfId="0" applyFont="1" applyFill="1" applyBorder="1" applyAlignment="1"/>
    <xf numFmtId="0" fontId="25" fillId="9" borderId="18" xfId="0" applyFont="1" applyFill="1" applyBorder="1"/>
    <xf numFmtId="0" fontId="25" fillId="9" borderId="40" xfId="0" applyFont="1" applyFill="1" applyBorder="1"/>
    <xf numFmtId="0" fontId="16" fillId="3" borderId="0" xfId="0" applyFont="1" applyFill="1"/>
    <xf numFmtId="0" fontId="21" fillId="4" borderId="55" xfId="0" applyFont="1" applyFill="1" applyBorder="1" applyAlignment="1">
      <alignment horizontal="center" wrapText="1"/>
    </xf>
    <xf numFmtId="0" fontId="25" fillId="9" borderId="0" xfId="0" applyFont="1" applyFill="1" applyBorder="1"/>
    <xf numFmtId="0" fontId="16" fillId="0" borderId="0" xfId="0" applyFont="1" applyBorder="1" applyAlignment="1">
      <alignment horizontal="centerContinuous"/>
    </xf>
    <xf numFmtId="0" fontId="21" fillId="4" borderId="40" xfId="0" applyFont="1" applyFill="1" applyBorder="1" applyAlignment="1">
      <alignment horizontal="center" wrapText="1"/>
    </xf>
    <xf numFmtId="164" fontId="0" fillId="0" borderId="3" xfId="0" applyNumberFormat="1" applyFill="1" applyBorder="1" applyAlignment="1">
      <alignment horizontal="center"/>
    </xf>
    <xf numFmtId="164" fontId="14" fillId="0" borderId="3" xfId="0" applyNumberFormat="1" applyFont="1" applyFill="1" applyBorder="1"/>
    <xf numFmtId="0" fontId="21" fillId="4" borderId="10" xfId="0" applyFont="1" applyFill="1" applyBorder="1" applyAlignment="1">
      <alignment horizontal="center" wrapText="1"/>
    </xf>
    <xf numFmtId="0" fontId="0" fillId="0" borderId="20" xfId="0" applyBorder="1" applyAlignment="1"/>
    <xf numFmtId="0" fontId="21" fillId="6" borderId="16" xfId="0" applyFont="1" applyFill="1" applyBorder="1" applyAlignment="1">
      <alignment wrapText="1"/>
    </xf>
    <xf numFmtId="0" fontId="21" fillId="4" borderId="56" xfId="0" applyFont="1" applyFill="1" applyBorder="1" applyAlignment="1">
      <alignment horizontal="center" wrapText="1"/>
    </xf>
    <xf numFmtId="0" fontId="0" fillId="0" borderId="57" xfId="0" applyBorder="1"/>
    <xf numFmtId="0" fontId="0" fillId="0" borderId="58" xfId="0" applyBorder="1"/>
    <xf numFmtId="2" fontId="0" fillId="0" borderId="21" xfId="0" applyNumberFormat="1" applyBorder="1"/>
    <xf numFmtId="2" fontId="0" fillId="0" borderId="20" xfId="0" applyNumberFormat="1" applyBorder="1"/>
    <xf numFmtId="165" fontId="0" fillId="0" borderId="21" xfId="0" applyNumberFormat="1" applyBorder="1"/>
    <xf numFmtId="2" fontId="0" fillId="0" borderId="22" xfId="0" applyNumberFormat="1" applyBorder="1"/>
    <xf numFmtId="2" fontId="0" fillId="0" borderId="23" xfId="0" applyNumberFormat="1" applyBorder="1"/>
    <xf numFmtId="0" fontId="0" fillId="6" borderId="25" xfId="0" applyFill="1" applyBorder="1"/>
    <xf numFmtId="2" fontId="0" fillId="6" borderId="5" xfId="0" applyNumberFormat="1" applyFill="1" applyBorder="1"/>
    <xf numFmtId="0" fontId="21" fillId="6" borderId="25" xfId="0" applyFont="1" applyFill="1" applyBorder="1" applyAlignment="1">
      <alignment horizontal="center" wrapText="1"/>
    </xf>
    <xf numFmtId="0" fontId="21" fillId="6" borderId="18" xfId="0" applyFont="1" applyFill="1" applyBorder="1" applyAlignment="1">
      <alignment horizontal="center" wrapText="1"/>
    </xf>
    <xf numFmtId="2" fontId="16" fillId="0" borderId="21" xfId="0" applyNumberFormat="1" applyFont="1" applyBorder="1" applyAlignment="1">
      <alignment horizontal="centerContinuous"/>
    </xf>
    <xf numFmtId="2" fontId="0" fillId="0" borderId="20" xfId="0" applyNumberFormat="1" applyBorder="1" applyAlignment="1">
      <alignment horizontal="centerContinuous"/>
    </xf>
    <xf numFmtId="0" fontId="0" fillId="0" borderId="0" xfId="0" applyBorder="1" applyAlignment="1">
      <alignment wrapText="1"/>
    </xf>
    <xf numFmtId="0" fontId="16" fillId="3" borderId="16" xfId="0" applyFont="1" applyFill="1" applyBorder="1"/>
    <xf numFmtId="166" fontId="16" fillId="0" borderId="21" xfId="0" applyNumberFormat="1" applyFont="1" applyBorder="1"/>
    <xf numFmtId="166" fontId="16" fillId="0" borderId="0" xfId="0" applyNumberFormat="1" applyFont="1" applyBorder="1"/>
    <xf numFmtId="0" fontId="16" fillId="0" borderId="20" xfId="0" applyFont="1" applyBorder="1"/>
    <xf numFmtId="0" fontId="16" fillId="0" borderId="23" xfId="0" applyFont="1" applyBorder="1"/>
    <xf numFmtId="0" fontId="0" fillId="7" borderId="59" xfId="0" applyFill="1" applyBorder="1"/>
    <xf numFmtId="164" fontId="0" fillId="7" borderId="59" xfId="0" applyNumberFormat="1" applyFill="1" applyBorder="1"/>
    <xf numFmtId="2" fontId="0" fillId="7" borderId="60" xfId="0" applyNumberFormat="1" applyFill="1" applyBorder="1"/>
    <xf numFmtId="0" fontId="0" fillId="0" borderId="0" xfId="0" applyFill="1"/>
    <xf numFmtId="166" fontId="0" fillId="0" borderId="1" xfId="1" applyNumberFormat="1" applyFont="1" applyFill="1" applyBorder="1"/>
    <xf numFmtId="166" fontId="18" fillId="0" borderId="1" xfId="1" applyNumberFormat="1" applyFont="1" applyFill="1" applyBorder="1"/>
    <xf numFmtId="0" fontId="0" fillId="0" borderId="0" xfId="0" applyFill="1" applyBorder="1" applyAlignment="1">
      <alignment wrapText="1"/>
    </xf>
    <xf numFmtId="0" fontId="37" fillId="10" borderId="36" xfId="0" applyFont="1" applyFill="1" applyBorder="1" applyAlignment="1">
      <alignment horizontal="left" indent="1"/>
    </xf>
    <xf numFmtId="0" fontId="0" fillId="10" borderId="38" xfId="0" applyFill="1" applyBorder="1"/>
    <xf numFmtId="0" fontId="18" fillId="10" borderId="38" xfId="0" applyFont="1" applyFill="1" applyBorder="1" applyAlignment="1">
      <alignment horizontal="left" indent="1"/>
    </xf>
    <xf numFmtId="0" fontId="0" fillId="10" borderId="39" xfId="0" applyFill="1" applyBorder="1"/>
    <xf numFmtId="0" fontId="0" fillId="10" borderId="21" xfId="0" applyFill="1" applyBorder="1"/>
    <xf numFmtId="0" fontId="36" fillId="5" borderId="0" xfId="0" applyFont="1" applyFill="1" applyBorder="1" applyAlignment="1">
      <alignment horizontal="left" indent="1"/>
    </xf>
    <xf numFmtId="0" fontId="0" fillId="10" borderId="0" xfId="0" applyFill="1" applyBorder="1"/>
    <xf numFmtId="0" fontId="0" fillId="10" borderId="20" xfId="0" applyFill="1" applyBorder="1"/>
    <xf numFmtId="0" fontId="15" fillId="10" borderId="22" xfId="0" applyFont="1" applyFill="1" applyBorder="1"/>
    <xf numFmtId="166" fontId="0" fillId="10" borderId="2" xfId="0" applyNumberFormat="1" applyFill="1" applyBorder="1"/>
    <xf numFmtId="0" fontId="0" fillId="10" borderId="2" xfId="0" applyFill="1" applyBorder="1"/>
    <xf numFmtId="166" fontId="36" fillId="10" borderId="2" xfId="0" applyNumberFormat="1" applyFont="1" applyFill="1" applyBorder="1"/>
    <xf numFmtId="0" fontId="36" fillId="10" borderId="2" xfId="0" applyFont="1" applyFill="1" applyBorder="1"/>
    <xf numFmtId="0" fontId="0" fillId="10" borderId="2" xfId="0" applyFill="1" applyBorder="1" applyAlignment="1">
      <alignment wrapText="1"/>
    </xf>
    <xf numFmtId="0" fontId="0" fillId="10" borderId="23" xfId="0" applyFill="1" applyBorder="1"/>
    <xf numFmtId="0" fontId="0" fillId="0" borderId="0" xfId="0" applyAlignment="1">
      <alignment horizontal="left" indent="2"/>
    </xf>
    <xf numFmtId="0" fontId="38" fillId="0" borderId="0" xfId="0" applyFont="1"/>
    <xf numFmtId="0" fontId="0" fillId="0" borderId="1" xfId="0" applyBorder="1" applyAlignment="1">
      <alignment wrapText="1"/>
    </xf>
    <xf numFmtId="0" fontId="39" fillId="0" borderId="1" xfId="0" applyFont="1" applyBorder="1" applyAlignment="1">
      <alignment horizontal="center"/>
    </xf>
    <xf numFmtId="0" fontId="40" fillId="0" borderId="1" xfId="0" applyFont="1" applyBorder="1" applyAlignment="1">
      <alignment horizontal="center"/>
    </xf>
    <xf numFmtId="0" fontId="39" fillId="0" borderId="1" xfId="0" applyFont="1" applyBorder="1"/>
    <xf numFmtId="0" fontId="41" fillId="0" borderId="1" xfId="0" applyFont="1" applyBorder="1"/>
    <xf numFmtId="0" fontId="42" fillId="0" borderId="1" xfId="2" applyFont="1" applyBorder="1" applyAlignment="1" applyProtection="1"/>
    <xf numFmtId="0" fontId="43" fillId="0" borderId="1" xfId="0" applyFont="1" applyBorder="1"/>
    <xf numFmtId="0" fontId="44" fillId="0" borderId="1" xfId="0" applyFont="1" applyBorder="1"/>
    <xf numFmtId="0" fontId="45" fillId="0" borderId="1" xfId="0" applyFont="1" applyBorder="1"/>
    <xf numFmtId="0" fontId="41" fillId="0" borderId="1" xfId="0" applyFont="1" applyBorder="1" applyAlignment="1">
      <alignment wrapText="1"/>
    </xf>
    <xf numFmtId="0" fontId="14" fillId="0" borderId="0" xfId="0" applyFont="1"/>
    <xf numFmtId="0" fontId="39" fillId="0" borderId="0" xfId="0" applyFont="1"/>
    <xf numFmtId="0" fontId="41" fillId="0" borderId="0" xfId="0" applyFont="1"/>
    <xf numFmtId="0" fontId="43" fillId="0" borderId="0" xfId="0" applyFont="1"/>
    <xf numFmtId="0" fontId="46" fillId="0" borderId="0" xfId="0" applyFont="1"/>
    <xf numFmtId="0" fontId="0" fillId="7" borderId="13" xfId="0" applyFill="1" applyBorder="1" applyAlignment="1">
      <alignment wrapText="1"/>
    </xf>
    <xf numFmtId="0" fontId="0" fillId="3" borderId="1" xfId="0" applyFill="1" applyBorder="1" applyAlignment="1">
      <alignment wrapText="1"/>
    </xf>
    <xf numFmtId="9" fontId="0" fillId="0" borderId="1" xfId="0" applyNumberFormat="1" applyBorder="1" applyAlignment="1">
      <alignment wrapText="1"/>
    </xf>
    <xf numFmtId="0" fontId="47" fillId="0" borderId="10" xfId="2" applyFont="1" applyBorder="1" applyAlignment="1" applyProtection="1"/>
    <xf numFmtId="0" fontId="49" fillId="0" borderId="1" xfId="0" applyFont="1" applyBorder="1" applyAlignment="1">
      <alignment horizontal="left"/>
    </xf>
    <xf numFmtId="4" fontId="41" fillId="0" borderId="0" xfId="0" applyNumberFormat="1" applyFont="1" applyAlignment="1">
      <alignment wrapText="1"/>
    </xf>
    <xf numFmtId="0" fontId="41" fillId="0" borderId="0" xfId="0" applyFont="1" applyAlignment="1">
      <alignment wrapText="1"/>
    </xf>
    <xf numFmtId="0" fontId="52" fillId="0" borderId="0" xfId="0" applyFont="1"/>
    <xf numFmtId="0" fontId="53" fillId="0" borderId="0" xfId="0" applyFont="1"/>
    <xf numFmtId="0" fontId="53" fillId="0" borderId="0" xfId="0" applyFont="1" applyBorder="1"/>
    <xf numFmtId="0" fontId="52" fillId="0" borderId="0" xfId="0" applyFont="1" applyBorder="1"/>
    <xf numFmtId="0" fontId="52" fillId="0" borderId="0" xfId="0" applyFont="1" applyBorder="1" applyAlignment="1">
      <alignment horizontal="center"/>
    </xf>
    <xf numFmtId="0" fontId="52" fillId="0" borderId="2" xfId="0" applyFont="1" applyBorder="1"/>
    <xf numFmtId="0" fontId="25" fillId="4" borderId="67" xfId="0" applyFont="1" applyFill="1" applyBorder="1" applyAlignment="1">
      <alignment horizontal="center"/>
    </xf>
    <xf numFmtId="0" fontId="25" fillId="4" borderId="47" xfId="0" applyFont="1" applyFill="1" applyBorder="1" applyAlignment="1">
      <alignment horizontal="center"/>
    </xf>
    <xf numFmtId="0" fontId="25" fillId="4" borderId="47" xfId="0" applyFont="1" applyFill="1" applyBorder="1"/>
    <xf numFmtId="0" fontId="25" fillId="4" borderId="24" xfId="0" applyFont="1" applyFill="1" applyBorder="1"/>
    <xf numFmtId="0" fontId="53" fillId="2" borderId="0" xfId="0" applyFont="1" applyFill="1" applyBorder="1"/>
    <xf numFmtId="0" fontId="55" fillId="0" borderId="0" xfId="0" applyFont="1"/>
    <xf numFmtId="0" fontId="56" fillId="0" borderId="0" xfId="0" applyFont="1" applyBorder="1"/>
    <xf numFmtId="0" fontId="32" fillId="0" borderId="0" xfId="0" applyFont="1"/>
    <xf numFmtId="0" fontId="52" fillId="0" borderId="4" xfId="0" applyFont="1" applyBorder="1" applyAlignment="1">
      <alignment horizontal="left"/>
    </xf>
    <xf numFmtId="0" fontId="56" fillId="2" borderId="0" xfId="0" applyFont="1" applyFill="1" applyBorder="1"/>
    <xf numFmtId="0" fontId="52" fillId="2" borderId="0" xfId="0" applyFont="1" applyFill="1" applyBorder="1"/>
    <xf numFmtId="0" fontId="45" fillId="0" borderId="0" xfId="0" applyFont="1" applyAlignment="1">
      <alignment horizontal="justify" wrapText="1"/>
    </xf>
    <xf numFmtId="0" fontId="40" fillId="0" borderId="0" xfId="0" applyFont="1" applyAlignment="1">
      <alignment horizontal="center" wrapText="1"/>
    </xf>
    <xf numFmtId="0" fontId="57" fillId="0" borderId="0" xfId="0" applyFont="1" applyAlignment="1">
      <alignment horizontal="center" wrapText="1"/>
    </xf>
    <xf numFmtId="0" fontId="59" fillId="0" borderId="0" xfId="0" applyFont="1" applyAlignment="1">
      <alignment horizontal="justify" wrapText="1"/>
    </xf>
    <xf numFmtId="0" fontId="40" fillId="0" borderId="0" xfId="0" applyFont="1" applyAlignment="1">
      <alignment horizontal="justify" wrapText="1"/>
    </xf>
    <xf numFmtId="0" fontId="61" fillId="0" borderId="0" xfId="0" applyFont="1" applyAlignment="1">
      <alignment horizontal="justify" wrapText="1"/>
    </xf>
    <xf numFmtId="0" fontId="63" fillId="0" borderId="0" xfId="0" applyFont="1" applyAlignment="1">
      <alignment horizontal="justify" wrapText="1"/>
    </xf>
    <xf numFmtId="0" fontId="45" fillId="0" borderId="0" xfId="0" applyNumberFormat="1" applyFont="1" applyAlignment="1">
      <alignment horizontal="justify" wrapText="1"/>
    </xf>
    <xf numFmtId="0" fontId="48" fillId="0" borderId="0" xfId="0" applyFont="1"/>
    <xf numFmtId="3" fontId="15" fillId="3" borderId="1" xfId="1" applyNumberFormat="1" applyFont="1" applyFill="1" applyBorder="1"/>
    <xf numFmtId="0" fontId="0" fillId="11" borderId="1" xfId="0" applyFill="1" applyBorder="1" applyAlignment="1">
      <alignment horizontal="center"/>
    </xf>
    <xf numFmtId="0" fontId="23" fillId="11" borderId="1" xfId="0" applyFont="1" applyFill="1" applyBorder="1" applyAlignment="1">
      <alignment horizontal="center" wrapText="1"/>
    </xf>
    <xf numFmtId="3" fontId="0" fillId="11" borderId="1" xfId="0" applyNumberFormat="1" applyFill="1" applyBorder="1"/>
    <xf numFmtId="173" fontId="23" fillId="11" borderId="1" xfId="0" applyNumberFormat="1" applyFont="1" applyFill="1" applyBorder="1"/>
    <xf numFmtId="10" fontId="23" fillId="11" borderId="1" xfId="0" applyNumberFormat="1" applyFont="1" applyFill="1" applyBorder="1"/>
    <xf numFmtId="0" fontId="0" fillId="11" borderId="21" xfId="0" applyFill="1" applyBorder="1"/>
    <xf numFmtId="0" fontId="0" fillId="11" borderId="0" xfId="0" applyFill="1" applyBorder="1"/>
    <xf numFmtId="166" fontId="0" fillId="11" borderId="21" xfId="1" applyNumberFormat="1" applyFont="1" applyFill="1" applyBorder="1"/>
    <xf numFmtId="166" fontId="0" fillId="11" borderId="0" xfId="1" applyNumberFormat="1" applyFont="1" applyFill="1" applyBorder="1"/>
    <xf numFmtId="166" fontId="15" fillId="11" borderId="0" xfId="1" applyNumberFormat="1" applyFont="1" applyFill="1" applyBorder="1"/>
    <xf numFmtId="166" fontId="0" fillId="11" borderId="34" xfId="1" applyNumberFormat="1" applyFont="1" applyFill="1" applyBorder="1"/>
    <xf numFmtId="166" fontId="0" fillId="11" borderId="26" xfId="1" applyNumberFormat="1" applyFont="1" applyFill="1" applyBorder="1"/>
    <xf numFmtId="0" fontId="16" fillId="0" borderId="6" xfId="0" applyFont="1" applyBorder="1" applyAlignment="1">
      <alignment horizontal="center" wrapText="1"/>
    </xf>
    <xf numFmtId="0" fontId="0" fillId="11" borderId="10" xfId="0" applyFill="1" applyBorder="1"/>
    <xf numFmtId="0" fontId="0" fillId="11" borderId="12" xfId="0" applyFill="1" applyBorder="1"/>
    <xf numFmtId="171" fontId="0" fillId="0" borderId="0" xfId="0" applyNumberFormat="1" applyFill="1" applyBorder="1"/>
    <xf numFmtId="43" fontId="0" fillId="11" borderId="20" xfId="0" applyNumberFormat="1" applyFill="1" applyBorder="1"/>
    <xf numFmtId="166" fontId="0" fillId="11" borderId="0" xfId="0" applyNumberFormat="1" applyFill="1"/>
    <xf numFmtId="166" fontId="0" fillId="11" borderId="35" xfId="0" applyNumberFormat="1" applyFill="1" applyBorder="1"/>
    <xf numFmtId="166" fontId="16" fillId="11" borderId="74" xfId="0" applyNumberFormat="1" applyFont="1" applyFill="1" applyBorder="1"/>
    <xf numFmtId="166" fontId="16" fillId="11" borderId="2" xfId="0" applyNumberFormat="1" applyFont="1" applyFill="1" applyBorder="1"/>
    <xf numFmtId="166" fontId="0" fillId="11" borderId="0" xfId="0" applyNumberFormat="1" applyFill="1" applyBorder="1"/>
    <xf numFmtId="166" fontId="14" fillId="11" borderId="26" xfId="0" applyNumberFormat="1" applyFont="1" applyFill="1" applyBorder="1"/>
    <xf numFmtId="0" fontId="0" fillId="11" borderId="20" xfId="0" applyFill="1" applyBorder="1"/>
    <xf numFmtId="166" fontId="0" fillId="11" borderId="21" xfId="0" applyNumberFormat="1" applyFill="1" applyBorder="1"/>
    <xf numFmtId="166" fontId="0" fillId="11" borderId="34" xfId="0" applyNumberFormat="1" applyFill="1" applyBorder="1"/>
    <xf numFmtId="0" fontId="0" fillId="11" borderId="26" xfId="0" applyFill="1" applyBorder="1"/>
    <xf numFmtId="0" fontId="0" fillId="11" borderId="35" xfId="0" applyFill="1" applyBorder="1"/>
    <xf numFmtId="166" fontId="16" fillId="11" borderId="22" xfId="0" applyNumberFormat="1" applyFont="1" applyFill="1" applyBorder="1"/>
    <xf numFmtId="0" fontId="16" fillId="11" borderId="2" xfId="0" applyFont="1" applyFill="1" applyBorder="1"/>
    <xf numFmtId="0" fontId="16" fillId="11" borderId="23" xfId="0" applyFont="1" applyFill="1" applyBorder="1"/>
    <xf numFmtId="0" fontId="16" fillId="11" borderId="1" xfId="0" applyFont="1" applyFill="1" applyBorder="1" applyAlignment="1">
      <alignment horizontal="center" wrapText="1"/>
    </xf>
    <xf numFmtId="0" fontId="16" fillId="11" borderId="0" xfId="0" applyFont="1" applyFill="1" applyBorder="1" applyAlignment="1">
      <alignment horizontal="center" wrapText="1"/>
    </xf>
    <xf numFmtId="0" fontId="0" fillId="12" borderId="0" xfId="0" applyFill="1" applyBorder="1" applyAlignment="1">
      <alignment horizontal="left" indent="1"/>
    </xf>
    <xf numFmtId="0" fontId="0" fillId="12" borderId="0" xfId="0" applyFill="1" applyBorder="1"/>
    <xf numFmtId="3" fontId="14" fillId="12" borderId="0" xfId="1" applyNumberFormat="1" applyFont="1" applyFill="1" applyBorder="1"/>
    <xf numFmtId="0" fontId="16" fillId="12" borderId="0" xfId="0" applyFont="1" applyFill="1" applyBorder="1"/>
    <xf numFmtId="0" fontId="14" fillId="5" borderId="0" xfId="0" applyFont="1" applyFill="1" applyBorder="1" applyAlignment="1">
      <alignment horizontal="left" indent="1"/>
    </xf>
    <xf numFmtId="3" fontId="67" fillId="12" borderId="0" xfId="1" applyNumberFormat="1" applyFont="1" applyFill="1" applyBorder="1"/>
    <xf numFmtId="0" fontId="67" fillId="12" borderId="0" xfId="0" applyFont="1" applyFill="1" applyBorder="1"/>
    <xf numFmtId="166" fontId="14" fillId="12" borderId="0" xfId="1" applyNumberFormat="1" applyFill="1" applyBorder="1"/>
    <xf numFmtId="0" fontId="68" fillId="12" borderId="0" xfId="0" applyFont="1" applyFill="1" applyBorder="1"/>
    <xf numFmtId="166" fontId="67" fillId="12" borderId="0" xfId="1" applyNumberFormat="1" applyFont="1" applyFill="1" applyBorder="1"/>
    <xf numFmtId="0" fontId="67" fillId="12" borderId="0" xfId="0" applyFont="1" applyFill="1" applyBorder="1" applyAlignment="1">
      <alignment horizontal="left" indent="1"/>
    </xf>
    <xf numFmtId="0" fontId="16" fillId="5" borderId="0" xfId="0" applyFont="1" applyFill="1" applyBorder="1" applyAlignment="1">
      <alignment horizontal="left"/>
    </xf>
    <xf numFmtId="0" fontId="14" fillId="12" borderId="0" xfId="0" applyFont="1" applyFill="1" applyBorder="1"/>
    <xf numFmtId="0" fontId="14" fillId="0" borderId="21" xfId="0" applyFont="1" applyBorder="1"/>
    <xf numFmtId="167" fontId="14" fillId="11" borderId="1" xfId="1" applyNumberFormat="1" applyFont="1" applyFill="1" applyBorder="1"/>
    <xf numFmtId="167" fontId="14" fillId="11" borderId="11" xfId="1" applyNumberFormat="1" applyFont="1" applyFill="1" applyBorder="1"/>
    <xf numFmtId="166" fontId="15" fillId="11" borderId="20" xfId="1" applyNumberFormat="1" applyFont="1" applyFill="1" applyBorder="1" applyAlignment="1">
      <alignment horizontal="right"/>
    </xf>
    <xf numFmtId="166" fontId="15" fillId="11" borderId="35" xfId="1" applyNumberFormat="1" applyFont="1" applyFill="1" applyBorder="1" applyAlignment="1">
      <alignment horizontal="right"/>
    </xf>
    <xf numFmtId="0" fontId="14" fillId="0" borderId="0" xfId="0" applyFont="1" applyFill="1" applyBorder="1"/>
    <xf numFmtId="10" fontId="0" fillId="0" borderId="0" xfId="4" applyNumberFormat="1" applyFont="1"/>
    <xf numFmtId="166" fontId="0" fillId="11" borderId="26" xfId="0" applyNumberFormat="1" applyFill="1" applyBorder="1"/>
    <xf numFmtId="0" fontId="0" fillId="11" borderId="0" xfId="0" applyFill="1"/>
    <xf numFmtId="174" fontId="15" fillId="0" borderId="0" xfId="1" applyNumberFormat="1" applyFont="1" applyBorder="1" applyAlignment="1">
      <alignment horizontal="right"/>
    </xf>
    <xf numFmtId="174" fontId="15" fillId="0" borderId="0" xfId="0" applyNumberFormat="1" applyFont="1" applyBorder="1" applyAlignment="1">
      <alignment horizontal="right"/>
    </xf>
    <xf numFmtId="0" fontId="15" fillId="0" borderId="0" xfId="0" applyFont="1" applyBorder="1"/>
    <xf numFmtId="3" fontId="14" fillId="11" borderId="1" xfId="1" applyNumberFormat="1" applyFont="1" applyFill="1" applyBorder="1"/>
    <xf numFmtId="3" fontId="14" fillId="11" borderId="11" xfId="1" applyNumberFormat="1" applyFont="1" applyFill="1" applyBorder="1"/>
    <xf numFmtId="175" fontId="0" fillId="0" borderId="0" xfId="0" applyNumberFormat="1"/>
    <xf numFmtId="0" fontId="18" fillId="0" borderId="0" xfId="0" applyFont="1"/>
    <xf numFmtId="175" fontId="18" fillId="0" borderId="0" xfId="0" applyNumberFormat="1" applyFont="1"/>
    <xf numFmtId="0" fontId="69" fillId="14" borderId="0" xfId="0" applyFont="1" applyFill="1" applyAlignment="1">
      <alignment wrapText="1"/>
    </xf>
    <xf numFmtId="0" fontId="69" fillId="14" borderId="0" xfId="0" applyFont="1" applyFill="1" applyAlignment="1">
      <alignment horizontal="center" vertical="center"/>
    </xf>
    <xf numFmtId="0" fontId="69" fillId="14" borderId="0" xfId="0" applyFont="1" applyFill="1" applyAlignment="1">
      <alignment horizontal="center" vertical="center" wrapText="1"/>
    </xf>
    <xf numFmtId="0" fontId="14" fillId="0" borderId="0" xfId="0" applyFont="1" applyAlignment="1">
      <alignment wrapText="1"/>
    </xf>
    <xf numFmtId="175" fontId="14" fillId="0" borderId="0" xfId="0" applyNumberFormat="1" applyFont="1"/>
    <xf numFmtId="175" fontId="16" fillId="0" borderId="0" xfId="0" applyNumberFormat="1" applyFont="1"/>
    <xf numFmtId="176" fontId="0" fillId="0" borderId="0" xfId="0" applyNumberFormat="1"/>
    <xf numFmtId="175" fontId="0" fillId="0" borderId="1" xfId="0" applyNumberFormat="1" applyBorder="1"/>
    <xf numFmtId="0" fontId="69" fillId="14" borderId="7" xfId="0" applyFont="1" applyFill="1" applyBorder="1" applyAlignment="1">
      <alignment horizontal="center" vertical="center"/>
    </xf>
    <xf numFmtId="0" fontId="69" fillId="14" borderId="8" xfId="0" applyFont="1" applyFill="1" applyBorder="1" applyAlignment="1">
      <alignment horizontal="center" vertical="center" wrapText="1"/>
    </xf>
    <xf numFmtId="0" fontId="69" fillId="14" borderId="9" xfId="0" applyFont="1" applyFill="1" applyBorder="1" applyAlignment="1">
      <alignment wrapText="1"/>
    </xf>
    <xf numFmtId="0" fontId="14" fillId="0" borderId="13" xfId="0" applyFont="1" applyBorder="1"/>
    <xf numFmtId="175" fontId="0" fillId="0" borderId="10" xfId="0" applyNumberFormat="1" applyBorder="1"/>
    <xf numFmtId="0" fontId="14" fillId="0" borderId="14" xfId="0" applyFont="1" applyBorder="1"/>
    <xf numFmtId="175" fontId="0" fillId="0" borderId="11" xfId="0" applyNumberFormat="1" applyBorder="1"/>
    <xf numFmtId="175" fontId="0" fillId="0" borderId="12" xfId="0" applyNumberFormat="1" applyBorder="1"/>
    <xf numFmtId="3" fontId="0" fillId="11" borderId="21" xfId="0" applyNumberFormat="1" applyFill="1" applyBorder="1"/>
    <xf numFmtId="3" fontId="0" fillId="11" borderId="0" xfId="0" applyNumberFormat="1" applyFill="1" applyBorder="1" applyAlignment="1">
      <alignment horizontal="center"/>
    </xf>
    <xf numFmtId="3" fontId="0" fillId="11" borderId="0" xfId="0" applyNumberFormat="1" applyFill="1"/>
    <xf numFmtId="3" fontId="0" fillId="11" borderId="0" xfId="0" applyNumberFormat="1" applyFill="1" applyBorder="1"/>
    <xf numFmtId="0" fontId="14" fillId="0" borderId="0" xfId="4" applyNumberFormat="1" applyFont="1" applyFill="1" applyBorder="1"/>
    <xf numFmtId="167" fontId="14" fillId="11" borderId="10" xfId="1" applyNumberFormat="1" applyFont="1" applyFill="1" applyBorder="1"/>
    <xf numFmtId="166" fontId="15" fillId="11" borderId="21" xfId="1" applyNumberFormat="1" applyFont="1" applyFill="1" applyBorder="1" applyAlignment="1">
      <alignment horizontal="right"/>
    </xf>
    <xf numFmtId="166" fontId="15" fillId="11" borderId="0" xfId="0" applyNumberFormat="1" applyFont="1" applyFill="1" applyBorder="1"/>
    <xf numFmtId="166" fontId="15" fillId="11" borderId="34" xfId="1" applyNumberFormat="1" applyFont="1" applyFill="1" applyBorder="1" applyAlignment="1">
      <alignment horizontal="right"/>
    </xf>
    <xf numFmtId="166" fontId="15" fillId="11" borderId="26" xfId="0" applyNumberFormat="1" applyFont="1" applyFill="1" applyBorder="1"/>
    <xf numFmtId="166" fontId="16" fillId="11" borderId="22" xfId="1" applyNumberFormat="1" applyFont="1" applyFill="1" applyBorder="1" applyAlignment="1">
      <alignment horizontal="right"/>
    </xf>
    <xf numFmtId="166" fontId="16" fillId="11" borderId="2" xfId="1" applyNumberFormat="1" applyFont="1" applyFill="1" applyBorder="1" applyAlignment="1">
      <alignment horizontal="right"/>
    </xf>
    <xf numFmtId="169" fontId="0" fillId="15" borderId="1" xfId="4" applyNumberFormat="1" applyFont="1" applyFill="1" applyBorder="1"/>
    <xf numFmtId="0" fontId="0" fillId="0" borderId="0" xfId="0" applyAlignment="1">
      <alignment wrapText="1"/>
    </xf>
    <xf numFmtId="0" fontId="24" fillId="0" borderId="10" xfId="2" applyBorder="1" applyAlignment="1" applyProtection="1">
      <alignment wrapText="1"/>
    </xf>
    <xf numFmtId="0" fontId="0" fillId="0" borderId="12" xfId="0" applyBorder="1" applyAlignment="1">
      <alignment wrapText="1"/>
    </xf>
    <xf numFmtId="0" fontId="25" fillId="4" borderId="9" xfId="0" applyFont="1" applyFill="1" applyBorder="1" applyAlignment="1">
      <alignment wrapText="1"/>
    </xf>
    <xf numFmtId="9" fontId="0" fillId="16" borderId="16" xfId="4" applyFont="1" applyFill="1" applyBorder="1"/>
    <xf numFmtId="0" fontId="0" fillId="16" borderId="10" xfId="0" applyFill="1" applyBorder="1" applyAlignment="1">
      <alignment wrapText="1"/>
    </xf>
    <xf numFmtId="0" fontId="0" fillId="17" borderId="13" xfId="0" applyFill="1" applyBorder="1"/>
    <xf numFmtId="0" fontId="0" fillId="15" borderId="1" xfId="0" applyFill="1" applyBorder="1"/>
    <xf numFmtId="0" fontId="14" fillId="15" borderId="1" xfId="0" applyFont="1" applyFill="1" applyBorder="1"/>
    <xf numFmtId="164" fontId="0" fillId="15" borderId="6" xfId="0" applyNumberFormat="1" applyFill="1" applyBorder="1" applyAlignment="1">
      <alignment wrapText="1"/>
    </xf>
    <xf numFmtId="164" fontId="0" fillId="15" borderId="11" xfId="0" applyNumberFormat="1" applyFill="1" applyBorder="1" applyAlignment="1">
      <alignment wrapText="1"/>
    </xf>
    <xf numFmtId="0" fontId="0" fillId="16" borderId="16" xfId="0" applyFill="1" applyBorder="1"/>
    <xf numFmtId="0" fontId="14" fillId="16" borderId="10" xfId="0" applyFont="1" applyFill="1" applyBorder="1" applyAlignment="1">
      <alignment wrapText="1"/>
    </xf>
    <xf numFmtId="0" fontId="14" fillId="16" borderId="16" xfId="0" applyFont="1" applyFill="1" applyBorder="1"/>
    <xf numFmtId="0" fontId="0" fillId="16" borderId="55" xfId="0" applyFill="1" applyBorder="1" applyAlignment="1">
      <alignment wrapText="1"/>
    </xf>
    <xf numFmtId="0" fontId="0" fillId="16" borderId="37" xfId="0" applyFill="1" applyBorder="1" applyAlignment="1">
      <alignment wrapText="1"/>
    </xf>
    <xf numFmtId="0" fontId="0" fillId="16" borderId="11" xfId="0" applyFill="1" applyBorder="1" applyAlignment="1">
      <alignment wrapText="1"/>
    </xf>
    <xf numFmtId="0" fontId="0" fillId="16" borderId="12" xfId="0" applyFill="1" applyBorder="1" applyAlignment="1">
      <alignment wrapText="1"/>
    </xf>
    <xf numFmtId="169" fontId="0" fillId="16" borderId="16" xfId="4" applyNumberFormat="1" applyFont="1" applyFill="1" applyBorder="1"/>
    <xf numFmtId="169" fontId="0" fillId="16" borderId="17" xfId="4" applyNumberFormat="1" applyFont="1" applyFill="1" applyBorder="1"/>
    <xf numFmtId="169" fontId="0" fillId="15" borderId="11" xfId="4" applyNumberFormat="1" applyFont="1" applyFill="1" applyBorder="1"/>
    <xf numFmtId="9" fontId="0" fillId="15" borderId="1" xfId="4" applyNumberFormat="1" applyFont="1" applyFill="1" applyBorder="1"/>
    <xf numFmtId="9" fontId="14" fillId="11" borderId="1" xfId="4" applyFill="1" applyBorder="1"/>
    <xf numFmtId="3" fontId="14" fillId="11" borderId="10" xfId="1" applyNumberFormat="1" applyFont="1" applyFill="1" applyBorder="1"/>
    <xf numFmtId="9" fontId="14" fillId="11" borderId="1" xfId="4" applyFont="1" applyFill="1" applyBorder="1"/>
    <xf numFmtId="9" fontId="14" fillId="11" borderId="11" xfId="4" applyFont="1" applyFill="1" applyBorder="1"/>
    <xf numFmtId="3" fontId="14" fillId="11" borderId="12" xfId="1" applyNumberFormat="1" applyFont="1" applyFill="1" applyBorder="1"/>
    <xf numFmtId="3" fontId="0" fillId="2" borderId="1" xfId="1" quotePrefix="1" applyNumberFormat="1" applyFont="1" applyFill="1" applyBorder="1"/>
    <xf numFmtId="4" fontId="0" fillId="5" borderId="0" xfId="0" applyNumberFormat="1" applyFill="1" applyBorder="1"/>
    <xf numFmtId="4" fontId="14" fillId="5" borderId="0" xfId="0" applyNumberFormat="1" applyFont="1" applyFill="1" applyBorder="1"/>
    <xf numFmtId="3" fontId="0" fillId="16" borderId="1" xfId="1" applyNumberFormat="1" applyFont="1" applyFill="1" applyBorder="1"/>
    <xf numFmtId="0" fontId="0" fillId="12" borderId="0" xfId="0" applyFill="1"/>
    <xf numFmtId="0" fontId="14" fillId="12" borderId="0" xfId="0" applyFont="1" applyFill="1"/>
    <xf numFmtId="166" fontId="16" fillId="0" borderId="22" xfId="0" applyNumberFormat="1" applyFont="1" applyBorder="1" applyAlignment="1"/>
    <xf numFmtId="4" fontId="20" fillId="15" borderId="1" xfId="3" applyNumberFormat="1" applyFont="1" applyFill="1" applyBorder="1" applyAlignment="1">
      <alignment horizontal="right"/>
    </xf>
    <xf numFmtId="0" fontId="39" fillId="16" borderId="1" xfId="0" applyFont="1" applyFill="1" applyBorder="1" applyAlignment="1">
      <alignment horizontal="center"/>
    </xf>
    <xf numFmtId="0" fontId="52" fillId="0" borderId="0" xfId="0" applyFont="1" applyFill="1" applyBorder="1"/>
    <xf numFmtId="0" fontId="14" fillId="0" borderId="0" xfId="0" applyFont="1" applyFill="1" applyBorder="1" applyAlignment="1">
      <alignment horizontal="left"/>
    </xf>
    <xf numFmtId="0" fontId="14" fillId="0" borderId="0" xfId="0" applyFont="1" applyAlignment="1">
      <alignment horizontal="left"/>
    </xf>
    <xf numFmtId="0" fontId="14" fillId="0" borderId="0" xfId="0" applyFont="1" applyFill="1" applyBorder="1" applyAlignment="1">
      <alignment horizontal="left" wrapText="1"/>
    </xf>
    <xf numFmtId="0" fontId="14" fillId="0" borderId="0" xfId="1" applyNumberFormat="1" applyFont="1" applyFill="1" applyBorder="1" applyAlignment="1">
      <alignment horizontal="left"/>
    </xf>
    <xf numFmtId="4" fontId="14" fillId="0" borderId="0" xfId="0" applyNumberFormat="1" applyFont="1" applyAlignment="1"/>
    <xf numFmtId="4" fontId="14" fillId="0" borderId="0" xfId="0" applyNumberFormat="1" applyFont="1" applyFill="1" applyBorder="1" applyAlignment="1"/>
    <xf numFmtId="4" fontId="14" fillId="0" borderId="0" xfId="0" applyNumberFormat="1" applyFont="1" applyFill="1" applyBorder="1" applyAlignment="1">
      <alignment wrapText="1"/>
    </xf>
    <xf numFmtId="4" fontId="14" fillId="0" borderId="0" xfId="1" applyNumberFormat="1" applyFont="1" applyFill="1" applyBorder="1" applyAlignment="1"/>
    <xf numFmtId="0" fontId="24" fillId="0" borderId="0" xfId="2" applyFill="1" applyAlignment="1" applyProtection="1"/>
    <xf numFmtId="0" fontId="16" fillId="0" borderId="7" xfId="0" applyFont="1" applyBorder="1" applyAlignment="1">
      <alignment wrapText="1"/>
    </xf>
    <xf numFmtId="0" fontId="16" fillId="0" borderId="8" xfId="0" applyFont="1" applyBorder="1" applyAlignment="1">
      <alignment horizontal="center" wrapText="1"/>
    </xf>
    <xf numFmtId="0" fontId="16" fillId="0" borderId="9" xfId="0" applyFont="1" applyBorder="1" applyAlignment="1">
      <alignment horizontal="center" wrapText="1"/>
    </xf>
    <xf numFmtId="0" fontId="38" fillId="0" borderId="71" xfId="0" applyFont="1" applyFill="1" applyBorder="1"/>
    <xf numFmtId="0" fontId="38" fillId="0" borderId="0" xfId="1" applyNumberFormat="1" applyFont="1" applyFill="1" applyBorder="1"/>
    <xf numFmtId="0" fontId="16" fillId="0" borderId="0" xfId="0" applyFont="1" applyFill="1"/>
    <xf numFmtId="0" fontId="0" fillId="17" borderId="13" xfId="0" applyFill="1" applyBorder="1" applyAlignment="1">
      <alignment horizontal="left" indent="1"/>
    </xf>
    <xf numFmtId="0" fontId="15" fillId="17" borderId="13" xfId="0" applyFont="1" applyFill="1" applyBorder="1"/>
    <xf numFmtId="0" fontId="15" fillId="17" borderId="13" xfId="0" applyFont="1" applyFill="1" applyBorder="1" applyAlignment="1">
      <alignment horizontal="left" indent="1"/>
    </xf>
    <xf numFmtId="0" fontId="15" fillId="17" borderId="14" xfId="0" applyFont="1" applyFill="1" applyBorder="1"/>
    <xf numFmtId="9" fontId="14" fillId="15" borderId="1" xfId="4" applyFill="1" applyBorder="1"/>
    <xf numFmtId="9" fontId="14" fillId="15" borderId="1" xfId="4" applyNumberFormat="1" applyFont="1" applyFill="1" applyBorder="1"/>
    <xf numFmtId="164" fontId="0" fillId="15" borderId="1" xfId="0" applyNumberFormat="1" applyFill="1" applyBorder="1"/>
    <xf numFmtId="0" fontId="14" fillId="0" borderId="10" xfId="0" applyFont="1" applyFill="1" applyBorder="1" applyAlignment="1">
      <alignment wrapText="1"/>
    </xf>
    <xf numFmtId="0" fontId="0" fillId="0" borderId="10" xfId="0" applyFill="1" applyBorder="1" applyAlignment="1">
      <alignment wrapText="1"/>
    </xf>
    <xf numFmtId="0" fontId="14" fillId="0" borderId="20" xfId="0" applyFont="1" applyFill="1" applyBorder="1" applyAlignment="1">
      <alignment wrapText="1"/>
    </xf>
    <xf numFmtId="0" fontId="39" fillId="0" borderId="0" xfId="0" applyFont="1" applyBorder="1" applyAlignment="1">
      <alignment horizontal="center"/>
    </xf>
    <xf numFmtId="0" fontId="72" fillId="0" borderId="0" xfId="2" applyFont="1" applyBorder="1" applyAlignment="1" applyProtection="1"/>
    <xf numFmtId="0" fontId="41" fillId="0" borderId="0" xfId="0" applyFont="1" applyBorder="1"/>
    <xf numFmtId="0" fontId="70" fillId="0" borderId="0" xfId="0" applyFont="1" applyFill="1" applyBorder="1" applyAlignment="1"/>
    <xf numFmtId="0" fontId="42" fillId="0" borderId="0" xfId="2" applyFont="1" applyBorder="1" applyAlignment="1" applyProtection="1"/>
    <xf numFmtId="166" fontId="16" fillId="0" borderId="21" xfId="1" applyNumberFormat="1" applyFont="1" applyBorder="1"/>
    <xf numFmtId="166" fontId="16" fillId="0" borderId="22" xfId="1" applyNumberFormat="1" applyFont="1" applyBorder="1"/>
    <xf numFmtId="166" fontId="16" fillId="0" borderId="2" xfId="1" applyNumberFormat="1" applyFont="1" applyBorder="1"/>
    <xf numFmtId="10" fontId="16" fillId="0" borderId="0" xfId="0" applyNumberFormat="1" applyFont="1" applyBorder="1"/>
    <xf numFmtId="10" fontId="16" fillId="0" borderId="2" xfId="0" applyNumberFormat="1" applyFont="1" applyBorder="1"/>
    <xf numFmtId="0" fontId="16" fillId="0" borderId="5" xfId="0" applyFont="1" applyFill="1" applyBorder="1"/>
    <xf numFmtId="0" fontId="14" fillId="0" borderId="0" xfId="0" applyFont="1" applyAlignment="1"/>
    <xf numFmtId="0" fontId="0" fillId="16" borderId="18" xfId="0" applyFill="1" applyBorder="1" applyAlignment="1">
      <alignment horizontal="center" vertical="center"/>
    </xf>
    <xf numFmtId="0" fontId="18" fillId="16" borderId="0" xfId="0" applyFont="1" applyFill="1" applyBorder="1" applyAlignment="1">
      <alignment horizontal="right"/>
    </xf>
    <xf numFmtId="3" fontId="18" fillId="16" borderId="0" xfId="1" applyNumberFormat="1" applyFont="1" applyFill="1" applyBorder="1"/>
    <xf numFmtId="166" fontId="18" fillId="16" borderId="0" xfId="1" applyNumberFormat="1" applyFont="1" applyFill="1" applyBorder="1"/>
    <xf numFmtId="166" fontId="0" fillId="16" borderId="0" xfId="1" applyNumberFormat="1" applyFont="1" applyFill="1" applyBorder="1"/>
    <xf numFmtId="166" fontId="14" fillId="0" borderId="0" xfId="1" applyNumberFormat="1" applyFont="1" applyFill="1" applyBorder="1"/>
    <xf numFmtId="3" fontId="18" fillId="16" borderId="1" xfId="1" applyNumberFormat="1" applyFont="1" applyFill="1" applyBorder="1"/>
    <xf numFmtId="3" fontId="16" fillId="16" borderId="1" xfId="0" applyNumberFormat="1" applyFont="1" applyFill="1" applyBorder="1" applyAlignment="1">
      <alignment horizontal="center"/>
    </xf>
    <xf numFmtId="166" fontId="16" fillId="0" borderId="0" xfId="1" applyNumberFormat="1" applyFont="1" applyFill="1" applyBorder="1"/>
    <xf numFmtId="43" fontId="0" fillId="0" borderId="0" xfId="0" applyNumberFormat="1" applyFill="1" applyBorder="1"/>
    <xf numFmtId="0" fontId="15" fillId="0" borderId="0" xfId="0" applyFont="1" applyFill="1" applyBorder="1"/>
    <xf numFmtId="169" fontId="0" fillId="0" borderId="0" xfId="4" applyNumberFormat="1" applyFont="1" applyFill="1" applyBorder="1"/>
    <xf numFmtId="10" fontId="16" fillId="0" borderId="0" xfId="4" applyNumberFormat="1" applyFont="1" applyFill="1" applyBorder="1"/>
    <xf numFmtId="0" fontId="0" fillId="0" borderId="4" xfId="0" applyBorder="1" applyAlignment="1">
      <alignment wrapText="1"/>
    </xf>
    <xf numFmtId="0" fontId="41" fillId="0" borderId="0" xfId="0" applyFont="1" applyFill="1" applyBorder="1" applyAlignment="1">
      <alignment horizontal="center"/>
    </xf>
    <xf numFmtId="0" fontId="41" fillId="0" borderId="0" xfId="0" applyFont="1" applyFill="1" applyBorder="1" applyAlignment="1">
      <alignment horizontal="center" wrapText="1"/>
    </xf>
    <xf numFmtId="0" fontId="41" fillId="0" borderId="0" xfId="0" applyFont="1" applyFill="1" applyBorder="1"/>
    <xf numFmtId="4" fontId="41" fillId="0" borderId="0" xfId="0" applyNumberFormat="1" applyFont="1" applyFill="1" applyBorder="1"/>
    <xf numFmtId="4" fontId="41" fillId="0" borderId="0" xfId="0" applyNumberFormat="1" applyFont="1" applyFill="1" applyBorder="1" applyAlignment="1">
      <alignment wrapText="1"/>
    </xf>
    <xf numFmtId="0" fontId="41" fillId="0" borderId="0" xfId="0" applyFont="1" applyFill="1" applyBorder="1" applyAlignment="1">
      <alignment wrapText="1"/>
    </xf>
    <xf numFmtId="0" fontId="0" fillId="0" borderId="13" xfId="0" applyBorder="1"/>
    <xf numFmtId="0" fontId="0" fillId="18" borderId="13" xfId="0" applyFill="1" applyBorder="1"/>
    <xf numFmtId="10" fontId="0" fillId="18" borderId="1" xfId="0" applyNumberFormat="1" applyFill="1" applyBorder="1"/>
    <xf numFmtId="3" fontId="0" fillId="18" borderId="1" xfId="0" applyNumberFormat="1" applyFill="1" applyBorder="1"/>
    <xf numFmtId="3" fontId="0" fillId="18" borderId="10" xfId="0" applyNumberFormat="1" applyFill="1" applyBorder="1"/>
    <xf numFmtId="0" fontId="38" fillId="0" borderId="0" xfId="0" applyFont="1" applyFill="1" applyBorder="1" applyAlignment="1"/>
    <xf numFmtId="0" fontId="38" fillId="0" borderId="0" xfId="0" applyFont="1" applyFill="1" applyBorder="1"/>
    <xf numFmtId="0" fontId="0" fillId="18" borderId="1" xfId="0" applyFill="1" applyBorder="1" applyAlignment="1">
      <alignment horizontal="center" wrapText="1"/>
    </xf>
    <xf numFmtId="172" fontId="0" fillId="18" borderId="1" xfId="0" applyNumberFormat="1" applyFill="1" applyBorder="1"/>
    <xf numFmtId="0" fontId="29" fillId="4" borderId="1" xfId="0" applyFont="1" applyFill="1" applyBorder="1" applyAlignment="1">
      <alignment horizontal="left" wrapText="1"/>
    </xf>
    <xf numFmtId="0" fontId="29" fillId="4" borderId="16" xfId="0" applyFont="1" applyFill="1" applyBorder="1" applyAlignment="1">
      <alignment horizontal="left" wrapText="1"/>
    </xf>
    <xf numFmtId="0" fontId="29" fillId="4" borderId="10" xfId="0" applyFont="1" applyFill="1" applyBorder="1" applyAlignment="1">
      <alignment horizontal="left" wrapText="1"/>
    </xf>
    <xf numFmtId="0" fontId="29" fillId="4" borderId="13" xfId="0" applyFont="1" applyFill="1" applyBorder="1" applyAlignment="1">
      <alignment horizontal="right" wrapText="1"/>
    </xf>
    <xf numFmtId="0" fontId="29" fillId="4" borderId="1" xfId="0" applyFont="1" applyFill="1" applyBorder="1" applyAlignment="1">
      <alignment horizontal="right" wrapText="1"/>
    </xf>
    <xf numFmtId="10" fontId="0" fillId="11" borderId="1" xfId="0" applyNumberFormat="1" applyFill="1" applyBorder="1"/>
    <xf numFmtId="3" fontId="0" fillId="11" borderId="10" xfId="0" applyNumberFormat="1" applyFill="1" applyBorder="1"/>
    <xf numFmtId="10" fontId="0" fillId="11" borderId="11" xfId="0" applyNumberFormat="1" applyFill="1" applyBorder="1"/>
    <xf numFmtId="3" fontId="0" fillId="11" borderId="11" xfId="0" applyNumberFormat="1" applyFill="1" applyBorder="1"/>
    <xf numFmtId="3" fontId="0" fillId="11" borderId="12" xfId="0" applyNumberFormat="1" applyFill="1" applyBorder="1"/>
    <xf numFmtId="9" fontId="38" fillId="0" borderId="0" xfId="4" applyFont="1" applyFill="1" applyBorder="1"/>
    <xf numFmtId="0" fontId="56" fillId="0" borderId="0" xfId="0" applyFont="1" applyBorder="1" applyAlignment="1">
      <alignment vertical="center"/>
    </xf>
    <xf numFmtId="3" fontId="16" fillId="0" borderId="0" xfId="0" applyNumberFormat="1" applyFont="1" applyBorder="1"/>
    <xf numFmtId="3" fontId="16" fillId="0" borderId="2" xfId="0" applyNumberFormat="1" applyFont="1" applyBorder="1"/>
    <xf numFmtId="164" fontId="16" fillId="11" borderId="2" xfId="0" applyNumberFormat="1" applyFont="1" applyFill="1" applyBorder="1"/>
    <xf numFmtId="0" fontId="0" fillId="11" borderId="34" xfId="0" applyFill="1" applyBorder="1"/>
    <xf numFmtId="169" fontId="0" fillId="0" borderId="1" xfId="4" applyNumberFormat="1" applyFont="1" applyFill="1" applyBorder="1"/>
    <xf numFmtId="0" fontId="0" fillId="19" borderId="13" xfId="0" applyFill="1" applyBorder="1"/>
    <xf numFmtId="0" fontId="0" fillId="19" borderId="14" xfId="0" applyFill="1" applyBorder="1"/>
    <xf numFmtId="0" fontId="0" fillId="19" borderId="56" xfId="0" applyFill="1" applyBorder="1" applyAlignment="1">
      <alignment wrapText="1"/>
    </xf>
    <xf numFmtId="0" fontId="0" fillId="19" borderId="14" xfId="0" applyFill="1" applyBorder="1" applyAlignment="1">
      <alignment wrapText="1"/>
    </xf>
    <xf numFmtId="0" fontId="14" fillId="7" borderId="13" xfId="0" applyFont="1" applyFill="1" applyBorder="1" applyAlignment="1">
      <alignment horizontal="left" indent="1"/>
    </xf>
    <xf numFmtId="3" fontId="16" fillId="11" borderId="0" xfId="1" applyNumberFormat="1" applyFont="1" applyFill="1" applyBorder="1" applyAlignment="1">
      <alignment horizontal="center"/>
    </xf>
    <xf numFmtId="0" fontId="25" fillId="20" borderId="13" xfId="0" applyFont="1" applyFill="1" applyBorder="1" applyAlignment="1">
      <alignment horizontal="center" wrapText="1"/>
    </xf>
    <xf numFmtId="0" fontId="25" fillId="20" borderId="1" xfId="0" applyFont="1" applyFill="1" applyBorder="1" applyAlignment="1">
      <alignment horizontal="center" wrapText="1"/>
    </xf>
    <xf numFmtId="0" fontId="25" fillId="20" borderId="10" xfId="0" applyFont="1" applyFill="1" applyBorder="1" applyAlignment="1">
      <alignment horizontal="center" wrapText="1"/>
    </xf>
    <xf numFmtId="0" fontId="25" fillId="4" borderId="13" xfId="0" applyFont="1" applyFill="1" applyBorder="1" applyAlignment="1">
      <alignment horizontal="center" wrapText="1"/>
    </xf>
    <xf numFmtId="0" fontId="25" fillId="4" borderId="40" xfId="0" applyFont="1" applyFill="1" applyBorder="1" applyAlignment="1">
      <alignment horizontal="center" wrapText="1"/>
    </xf>
    <xf numFmtId="3" fontId="16" fillId="11" borderId="22" xfId="0" applyNumberFormat="1" applyFont="1" applyFill="1" applyBorder="1"/>
    <xf numFmtId="166" fontId="16" fillId="11" borderId="2" xfId="1" applyNumberFormat="1" applyFont="1" applyFill="1" applyBorder="1" applyAlignment="1">
      <alignment horizontal="center"/>
    </xf>
    <xf numFmtId="166" fontId="16" fillId="11" borderId="2" xfId="1" applyNumberFormat="1" applyFont="1" applyFill="1" applyBorder="1"/>
    <xf numFmtId="3" fontId="16" fillId="11" borderId="23" xfId="0" applyNumberFormat="1" applyFont="1" applyFill="1" applyBorder="1"/>
    <xf numFmtId="0" fontId="13" fillId="0" borderId="0" xfId="5"/>
    <xf numFmtId="0" fontId="74" fillId="0" borderId="0" xfId="5" applyFont="1"/>
    <xf numFmtId="0" fontId="79" fillId="0" borderId="1" xfId="0" applyFont="1" applyBorder="1" applyAlignment="1">
      <alignment horizontal="left"/>
    </xf>
    <xf numFmtId="0" fontId="41" fillId="0" borderId="1" xfId="2" applyFont="1" applyBorder="1" applyAlignment="1" applyProtection="1"/>
    <xf numFmtId="0" fontId="0" fillId="0" borderId="0" xfId="0" applyAlignment="1">
      <alignment wrapText="1"/>
    </xf>
    <xf numFmtId="0" fontId="14" fillId="0" borderId="10" xfId="0" applyFont="1" applyBorder="1"/>
    <xf numFmtId="9" fontId="0" fillId="3" borderId="11" xfId="4" applyFont="1" applyFill="1" applyBorder="1"/>
    <xf numFmtId="0" fontId="0" fillId="0" borderId="17" xfId="0" applyFill="1" applyBorder="1"/>
    <xf numFmtId="0" fontId="13" fillId="0" borderId="0" xfId="5" applyAlignment="1"/>
    <xf numFmtId="0" fontId="14" fillId="5" borderId="61" xfId="0" applyFont="1" applyFill="1" applyBorder="1" applyAlignment="1">
      <alignment horizontal="center"/>
    </xf>
    <xf numFmtId="0" fontId="14" fillId="17" borderId="13" xfId="0" applyFont="1" applyFill="1" applyBorder="1"/>
    <xf numFmtId="0" fontId="0" fillId="0" borderId="2" xfId="0" applyBorder="1" applyAlignment="1"/>
    <xf numFmtId="1" fontId="33" fillId="0" borderId="0" xfId="5" applyNumberFormat="1" applyFont="1" applyFill="1" applyBorder="1" applyAlignment="1">
      <alignment vertical="top" wrapText="1"/>
    </xf>
    <xf numFmtId="0" fontId="33" fillId="0" borderId="0" xfId="5" applyFont="1" applyFill="1" applyBorder="1"/>
    <xf numFmtId="1" fontId="33" fillId="0" borderId="0" xfId="5" applyNumberFormat="1" applyFont="1" applyFill="1" applyBorder="1" applyAlignment="1"/>
    <xf numFmtId="0" fontId="13" fillId="0" borderId="0" xfId="5" applyFill="1" applyBorder="1"/>
    <xf numFmtId="3" fontId="0" fillId="11" borderId="26" xfId="0" applyNumberFormat="1" applyFill="1" applyBorder="1" applyAlignment="1">
      <alignment horizontal="center"/>
    </xf>
    <xf numFmtId="3" fontId="0" fillId="11" borderId="35" xfId="0" applyNumberFormat="1" applyFill="1" applyBorder="1"/>
    <xf numFmtId="2" fontId="0" fillId="0" borderId="4" xfId="0" applyNumberFormat="1" applyBorder="1"/>
    <xf numFmtId="2" fontId="0" fillId="0" borderId="4" xfId="0" applyNumberFormat="1" applyFill="1" applyBorder="1"/>
    <xf numFmtId="2" fontId="0" fillId="0" borderId="44" xfId="0" applyNumberFormat="1" applyBorder="1"/>
    <xf numFmtId="164" fontId="0" fillId="0" borderId="0" xfId="0" applyNumberFormat="1" applyFill="1" applyBorder="1" applyAlignment="1"/>
    <xf numFmtId="164" fontId="0" fillId="0" borderId="3" xfId="0" applyNumberFormat="1" applyFill="1" applyBorder="1" applyAlignment="1"/>
    <xf numFmtId="164" fontId="14" fillId="0" borderId="0" xfId="0" applyNumberFormat="1" applyFont="1" applyBorder="1" applyAlignment="1"/>
    <xf numFmtId="164" fontId="14" fillId="0" borderId="3" xfId="0" applyNumberFormat="1" applyFont="1" applyBorder="1" applyAlignment="1"/>
    <xf numFmtId="164" fontId="0" fillId="0" borderId="0" xfId="0" applyNumberFormat="1" applyBorder="1" applyAlignment="1"/>
    <xf numFmtId="164" fontId="0" fillId="0" borderId="3" xfId="0" applyNumberFormat="1" applyBorder="1" applyAlignment="1"/>
    <xf numFmtId="0" fontId="14" fillId="0" borderId="1" xfId="0" applyFont="1" applyBorder="1" applyAlignment="1">
      <alignment horizontal="left" indent="1"/>
    </xf>
    <xf numFmtId="0" fontId="0" fillId="0" borderId="43" xfId="0" applyBorder="1" applyAlignment="1"/>
    <xf numFmtId="0" fontId="14" fillId="0" borderId="3" xfId="0" applyFont="1" applyFill="1" applyBorder="1"/>
    <xf numFmtId="164" fontId="0" fillId="0" borderId="0" xfId="0" applyNumberFormat="1" applyFill="1" applyBorder="1"/>
    <xf numFmtId="164" fontId="0" fillId="0" borderId="3" xfId="0" applyNumberFormat="1" applyFill="1" applyBorder="1"/>
    <xf numFmtId="4" fontId="0" fillId="0" borderId="0" xfId="0" applyNumberFormat="1"/>
    <xf numFmtId="3" fontId="0" fillId="11" borderId="34" xfId="0" applyNumberFormat="1" applyFill="1" applyBorder="1"/>
    <xf numFmtId="3" fontId="0" fillId="11" borderId="26" xfId="0" applyNumberFormat="1" applyFill="1" applyBorder="1"/>
    <xf numFmtId="0" fontId="74" fillId="0" borderId="4" xfId="5" applyFont="1" applyFill="1" applyBorder="1"/>
    <xf numFmtId="0" fontId="13" fillId="0" borderId="4" xfId="5" applyFill="1" applyBorder="1"/>
    <xf numFmtId="1" fontId="78" fillId="0" borderId="0" xfId="5" applyNumberFormat="1" applyFont="1" applyFill="1" applyBorder="1" applyAlignment="1">
      <alignment vertical="top" wrapText="1"/>
    </xf>
    <xf numFmtId="1" fontId="33" fillId="0" borderId="0" xfId="5" applyNumberFormat="1" applyFont="1" applyFill="1" applyBorder="1" applyAlignment="1">
      <alignment vertical="top"/>
    </xf>
    <xf numFmtId="0" fontId="78" fillId="0" borderId="0" xfId="5" applyFont="1" applyFill="1" applyBorder="1"/>
    <xf numFmtId="1" fontId="78" fillId="0" borderId="0" xfId="5" applyNumberFormat="1" applyFont="1" applyFill="1" applyBorder="1" applyAlignment="1"/>
    <xf numFmtId="0" fontId="14" fillId="0" borderId="13" xfId="0" applyFont="1" applyFill="1" applyBorder="1"/>
    <xf numFmtId="0" fontId="69" fillId="0" borderId="0" xfId="0" applyFont="1" applyFill="1" applyBorder="1" applyAlignment="1"/>
    <xf numFmtId="0" fontId="25" fillId="4" borderId="16" xfId="0" applyFont="1" applyFill="1" applyBorder="1" applyAlignment="1">
      <alignment horizontal="center" wrapText="1"/>
    </xf>
    <xf numFmtId="0" fontId="69" fillId="20" borderId="1" xfId="0" applyFont="1" applyFill="1" applyBorder="1" applyAlignment="1">
      <alignment wrapText="1"/>
    </xf>
    <xf numFmtId="164" fontId="0" fillId="11" borderId="0" xfId="0" applyNumberFormat="1" applyFill="1" applyBorder="1"/>
    <xf numFmtId="164" fontId="0" fillId="11" borderId="26" xfId="0" applyNumberFormat="1" applyFill="1" applyBorder="1"/>
    <xf numFmtId="0" fontId="25" fillId="20" borderId="13" xfId="0" applyFont="1" applyFill="1" applyBorder="1" applyAlignment="1">
      <alignment wrapText="1"/>
    </xf>
    <xf numFmtId="0" fontId="69" fillId="20" borderId="10" xfId="0" applyFont="1" applyFill="1" applyBorder="1" applyAlignment="1">
      <alignment wrapText="1"/>
    </xf>
    <xf numFmtId="0" fontId="0" fillId="0" borderId="0" xfId="0" applyAlignment="1">
      <alignment wrapText="1"/>
    </xf>
    <xf numFmtId="165" fontId="0" fillId="11" borderId="21" xfId="1" applyNumberFormat="1" applyFont="1" applyFill="1" applyBorder="1"/>
    <xf numFmtId="165" fontId="0" fillId="11" borderId="0" xfId="1" applyNumberFormat="1" applyFont="1" applyFill="1" applyBorder="1"/>
    <xf numFmtId="165" fontId="0" fillId="11" borderId="20" xfId="1" applyNumberFormat="1" applyFont="1" applyFill="1" applyBorder="1"/>
    <xf numFmtId="165" fontId="0" fillId="11" borderId="34" xfId="1" applyNumberFormat="1" applyFont="1" applyFill="1" applyBorder="1"/>
    <xf numFmtId="165" fontId="0" fillId="11" borderId="26" xfId="1" applyNumberFormat="1" applyFont="1" applyFill="1" applyBorder="1"/>
    <xf numFmtId="165" fontId="0" fillId="11" borderId="35" xfId="1" applyNumberFormat="1" applyFont="1" applyFill="1" applyBorder="1"/>
    <xf numFmtId="165" fontId="16" fillId="11" borderId="22" xfId="1" applyNumberFormat="1" applyFont="1" applyFill="1" applyBorder="1"/>
    <xf numFmtId="165" fontId="16" fillId="11" borderId="2" xfId="1" applyNumberFormat="1" applyFont="1" applyFill="1" applyBorder="1"/>
    <xf numFmtId="165" fontId="16" fillId="11" borderId="23" xfId="1" applyNumberFormat="1" applyFont="1" applyFill="1" applyBorder="1"/>
    <xf numFmtId="0" fontId="20" fillId="5" borderId="6" xfId="3" applyFont="1" applyFill="1" applyBorder="1" applyAlignment="1">
      <alignment horizontal="left" indent="1"/>
    </xf>
    <xf numFmtId="9" fontId="20" fillId="3" borderId="6" xfId="4" applyFont="1" applyFill="1" applyBorder="1" applyAlignment="1">
      <alignment horizontal="right"/>
    </xf>
    <xf numFmtId="0" fontId="20" fillId="5" borderId="25" xfId="3" applyFont="1" applyFill="1" applyBorder="1" applyAlignment="1"/>
    <xf numFmtId="0" fontId="20" fillId="12" borderId="25" xfId="3" applyFont="1" applyFill="1" applyBorder="1" applyAlignment="1"/>
    <xf numFmtId="4" fontId="20" fillId="12" borderId="25" xfId="3" applyNumberFormat="1" applyFont="1" applyFill="1" applyBorder="1" applyAlignment="1">
      <alignment horizontal="right"/>
    </xf>
    <xf numFmtId="4" fontId="0" fillId="12" borderId="0" xfId="0" applyNumberFormat="1" applyFill="1" applyBorder="1"/>
    <xf numFmtId="9" fontId="20" fillId="3" borderId="55" xfId="4" applyFont="1" applyFill="1" applyBorder="1" applyAlignment="1">
      <alignment horizontal="right"/>
    </xf>
    <xf numFmtId="4" fontId="0" fillId="5" borderId="4" xfId="0" applyNumberFormat="1" applyFill="1" applyBorder="1"/>
    <xf numFmtId="9" fontId="20" fillId="15" borderId="6" xfId="4" applyFont="1" applyFill="1" applyBorder="1" applyAlignment="1">
      <alignment horizontal="right"/>
    </xf>
    <xf numFmtId="0" fontId="14" fillId="0" borderId="10" xfId="0" applyFont="1" applyBorder="1" applyAlignment="1">
      <alignment wrapText="1"/>
    </xf>
    <xf numFmtId="0" fontId="14" fillId="0" borderId="10" xfId="0" applyFont="1" applyFill="1" applyBorder="1"/>
    <xf numFmtId="0" fontId="25" fillId="4" borderId="15" xfId="0" applyFont="1" applyFill="1" applyBorder="1" applyAlignment="1">
      <alignment horizontal="center" wrapText="1"/>
    </xf>
    <xf numFmtId="0" fontId="0" fillId="0" borderId="16" xfId="0" applyBorder="1"/>
    <xf numFmtId="0" fontId="14" fillId="20" borderId="0" xfId="0" applyFont="1" applyFill="1"/>
    <xf numFmtId="0" fontId="82" fillId="0" borderId="0" xfId="5" applyFont="1"/>
    <xf numFmtId="0" fontId="83" fillId="0" borderId="0" xfId="5" applyFont="1"/>
    <xf numFmtId="0" fontId="84" fillId="0" borderId="0" xfId="5" applyFont="1"/>
    <xf numFmtId="0" fontId="85" fillId="0" borderId="0" xfId="5" applyFont="1"/>
    <xf numFmtId="4" fontId="82" fillId="0" borderId="0" xfId="5" applyNumberFormat="1" applyFont="1"/>
    <xf numFmtId="0" fontId="84" fillId="16" borderId="55" xfId="5" applyFont="1" applyFill="1" applyBorder="1"/>
    <xf numFmtId="0" fontId="85" fillId="16" borderId="25" xfId="5" applyFont="1" applyFill="1" applyBorder="1"/>
    <xf numFmtId="0" fontId="85" fillId="16" borderId="66" xfId="5" applyFont="1" applyFill="1" applyBorder="1"/>
    <xf numFmtId="0" fontId="85" fillId="0" borderId="0" xfId="5" applyFont="1" applyFill="1" applyBorder="1"/>
    <xf numFmtId="0" fontId="82" fillId="0" borderId="0" xfId="5" applyFont="1" applyFill="1" applyBorder="1"/>
    <xf numFmtId="0" fontId="82" fillId="16" borderId="4" xfId="5" applyFont="1" applyFill="1" applyBorder="1"/>
    <xf numFmtId="0" fontId="82" fillId="16" borderId="0" xfId="5" applyFont="1" applyFill="1" applyBorder="1"/>
    <xf numFmtId="0" fontId="82" fillId="16" borderId="3" xfId="5" applyFont="1" applyFill="1" applyBorder="1"/>
    <xf numFmtId="0" fontId="85" fillId="16" borderId="4" xfId="5" applyFont="1" applyFill="1" applyBorder="1"/>
    <xf numFmtId="0" fontId="85" fillId="16" borderId="0" xfId="5" applyFont="1" applyFill="1" applyBorder="1"/>
    <xf numFmtId="0" fontId="85" fillId="16" borderId="50" xfId="5" applyFont="1" applyFill="1" applyBorder="1"/>
    <xf numFmtId="0" fontId="82" fillId="16" borderId="5" xfId="5" applyFont="1" applyFill="1" applyBorder="1"/>
    <xf numFmtId="0" fontId="82" fillId="16" borderId="52" xfId="5" applyFont="1" applyFill="1" applyBorder="1"/>
    <xf numFmtId="0" fontId="89" fillId="0" borderId="0" xfId="5" applyFont="1"/>
    <xf numFmtId="0" fontId="83" fillId="0" borderId="5" xfId="5" applyFont="1" applyBorder="1"/>
    <xf numFmtId="0" fontId="69" fillId="20" borderId="16" xfId="5" applyFont="1" applyFill="1" applyBorder="1"/>
    <xf numFmtId="0" fontId="69" fillId="20" borderId="13" xfId="5" applyFont="1" applyFill="1" applyBorder="1" applyAlignment="1">
      <alignment wrapText="1"/>
    </xf>
    <xf numFmtId="0" fontId="69" fillId="20" borderId="1" xfId="5" applyFont="1" applyFill="1" applyBorder="1" applyAlignment="1">
      <alignment wrapText="1"/>
    </xf>
    <xf numFmtId="0" fontId="69" fillId="20" borderId="10" xfId="5" applyFont="1" applyFill="1" applyBorder="1" applyAlignment="1">
      <alignment wrapText="1"/>
    </xf>
    <xf numFmtId="0" fontId="69" fillId="20" borderId="40" xfId="5" applyFont="1" applyFill="1" applyBorder="1" applyAlignment="1">
      <alignment wrapText="1"/>
    </xf>
    <xf numFmtId="0" fontId="69" fillId="20" borderId="16" xfId="5" applyFont="1" applyFill="1" applyBorder="1" applyAlignment="1">
      <alignment wrapText="1"/>
    </xf>
    <xf numFmtId="0" fontId="83" fillId="15" borderId="16" xfId="5" applyFont="1" applyFill="1" applyBorder="1"/>
    <xf numFmtId="4" fontId="83" fillId="0" borderId="13" xfId="5" applyNumberFormat="1" applyFont="1" applyFill="1" applyBorder="1"/>
    <xf numFmtId="4" fontId="83" fillId="0" borderId="1" xfId="5" applyNumberFormat="1" applyFont="1" applyFill="1" applyBorder="1"/>
    <xf numFmtId="4" fontId="83" fillId="0" borderId="10" xfId="5" applyNumberFormat="1" applyFont="1" applyFill="1" applyBorder="1"/>
    <xf numFmtId="4" fontId="83" fillId="0" borderId="40" xfId="5" applyNumberFormat="1" applyFont="1" applyFill="1" applyBorder="1"/>
    <xf numFmtId="4" fontId="83" fillId="0" borderId="16" xfId="5" applyNumberFormat="1" applyFont="1" applyFill="1" applyBorder="1"/>
    <xf numFmtId="4" fontId="83" fillId="22" borderId="13" xfId="5" applyNumberFormat="1" applyFont="1" applyFill="1" applyBorder="1"/>
    <xf numFmtId="4" fontId="83" fillId="22" borderId="40" xfId="5" applyNumberFormat="1" applyFont="1" applyFill="1" applyBorder="1"/>
    <xf numFmtId="4" fontId="83" fillId="21" borderId="1" xfId="5" applyNumberFormat="1" applyFont="1" applyFill="1" applyBorder="1"/>
    <xf numFmtId="4" fontId="83" fillId="0" borderId="1" xfId="5" applyNumberFormat="1" applyFont="1" applyBorder="1"/>
    <xf numFmtId="0" fontId="83" fillId="15" borderId="51" xfId="5" applyFont="1" applyFill="1" applyBorder="1"/>
    <xf numFmtId="4" fontId="83" fillId="0" borderId="53" xfId="5" applyNumberFormat="1" applyFont="1" applyFill="1" applyBorder="1"/>
    <xf numFmtId="4" fontId="83" fillId="0" borderId="48" xfId="5" applyNumberFormat="1" applyFont="1" applyFill="1" applyBorder="1"/>
    <xf numFmtId="4" fontId="83" fillId="0" borderId="77" xfId="5" applyNumberFormat="1" applyFont="1" applyFill="1" applyBorder="1"/>
    <xf numFmtId="4" fontId="83" fillId="0" borderId="80" xfId="5" applyNumberFormat="1" applyFont="1" applyFill="1" applyBorder="1"/>
    <xf numFmtId="4" fontId="83" fillId="21" borderId="48" xfId="5" applyNumberFormat="1" applyFont="1" applyFill="1" applyBorder="1"/>
    <xf numFmtId="4" fontId="83" fillId="0" borderId="51" xfId="5" applyNumberFormat="1" applyFont="1" applyFill="1" applyBorder="1"/>
    <xf numFmtId="0" fontId="90" fillId="15" borderId="50" xfId="5" applyFont="1" applyFill="1" applyBorder="1"/>
    <xf numFmtId="4" fontId="90" fillId="0" borderId="72" xfId="5" applyNumberFormat="1" applyFont="1" applyFill="1" applyBorder="1"/>
    <xf numFmtId="4" fontId="90" fillId="0" borderId="78" xfId="5" applyNumberFormat="1" applyFont="1" applyFill="1" applyBorder="1"/>
    <xf numFmtId="4" fontId="90" fillId="0" borderId="79" xfId="5" applyNumberFormat="1" applyFont="1" applyFill="1" applyBorder="1"/>
    <xf numFmtId="4" fontId="90" fillId="0" borderId="43" xfId="5" applyNumberFormat="1" applyFont="1" applyFill="1" applyBorder="1"/>
    <xf numFmtId="4" fontId="90" fillId="0" borderId="44" xfId="5" applyNumberFormat="1" applyFont="1" applyFill="1" applyBorder="1"/>
    <xf numFmtId="0" fontId="85" fillId="21" borderId="0" xfId="5" applyFont="1" applyFill="1"/>
    <xf numFmtId="0" fontId="85" fillId="22" borderId="0" xfId="5" applyFont="1" applyFill="1"/>
    <xf numFmtId="0" fontId="90" fillId="0" borderId="0" xfId="5" applyFont="1" applyAlignment="1"/>
    <xf numFmtId="1" fontId="75" fillId="0" borderId="55" xfId="5" applyNumberFormat="1" applyFont="1" applyFill="1" applyBorder="1" applyAlignment="1"/>
    <xf numFmtId="0" fontId="33" fillId="0" borderId="25" xfId="5" applyFont="1" applyFill="1" applyBorder="1" applyAlignment="1"/>
    <xf numFmtId="0" fontId="33" fillId="0" borderId="25" xfId="5" applyFont="1" applyFill="1" applyBorder="1"/>
    <xf numFmtId="0" fontId="33" fillId="0" borderId="4" xfId="5" applyFont="1" applyFill="1" applyBorder="1"/>
    <xf numFmtId="1" fontId="33" fillId="0" borderId="4" xfId="5" applyNumberFormat="1" applyFont="1" applyFill="1" applyBorder="1" applyAlignment="1">
      <alignment vertical="top" wrapText="1"/>
    </xf>
    <xf numFmtId="1" fontId="33" fillId="0" borderId="4" xfId="5" applyNumberFormat="1" applyFont="1" applyFill="1" applyBorder="1" applyAlignment="1"/>
    <xf numFmtId="0" fontId="85" fillId="0" borderId="0" xfId="5" applyFont="1" applyFill="1"/>
    <xf numFmtId="0" fontId="90" fillId="0" borderId="0" xfId="5" applyFont="1" applyAlignment="1">
      <alignment horizontal="left"/>
    </xf>
    <xf numFmtId="0" fontId="69" fillId="20" borderId="1" xfId="5" applyFont="1" applyFill="1" applyBorder="1"/>
    <xf numFmtId="0" fontId="83" fillId="15" borderId="1" xfId="5" applyFont="1" applyFill="1" applyBorder="1"/>
    <xf numFmtId="3" fontId="83" fillId="0" borderId="1" xfId="5" applyNumberFormat="1" applyFont="1" applyBorder="1"/>
    <xf numFmtId="0" fontId="83" fillId="15" borderId="48" xfId="5" applyFont="1" applyFill="1" applyBorder="1"/>
    <xf numFmtId="4" fontId="83" fillId="0" borderId="48" xfId="5" applyNumberFormat="1" applyFont="1" applyBorder="1"/>
    <xf numFmtId="3" fontId="83" fillId="0" borderId="48" xfId="5" applyNumberFormat="1" applyFont="1" applyBorder="1"/>
    <xf numFmtId="0" fontId="90" fillId="15" borderId="47" xfId="5" applyFont="1" applyFill="1" applyBorder="1"/>
    <xf numFmtId="4" fontId="90" fillId="0" borderId="47" xfId="5" applyNumberFormat="1" applyFont="1" applyBorder="1"/>
    <xf numFmtId="0" fontId="85" fillId="16" borderId="5" xfId="5" applyFont="1" applyFill="1" applyBorder="1"/>
    <xf numFmtId="0" fontId="85" fillId="0" borderId="4" xfId="5" applyFont="1" applyFill="1" applyBorder="1"/>
    <xf numFmtId="0" fontId="82" fillId="0" borderId="4" xfId="5" applyFont="1" applyFill="1" applyBorder="1"/>
    <xf numFmtId="1" fontId="75" fillId="0" borderId="0" xfId="5" applyNumberFormat="1" applyFont="1" applyFill="1" applyBorder="1" applyAlignment="1"/>
    <xf numFmtId="43" fontId="83" fillId="0" borderId="1" xfId="1" applyFont="1" applyBorder="1"/>
    <xf numFmtId="43" fontId="83" fillId="0" borderId="48" xfId="1" applyFont="1" applyBorder="1"/>
    <xf numFmtId="0" fontId="85" fillId="0" borderId="0" xfId="5" applyFont="1" applyAlignment="1"/>
    <xf numFmtId="0" fontId="85" fillId="16" borderId="3" xfId="5" applyFont="1" applyFill="1" applyBorder="1"/>
    <xf numFmtId="0" fontId="85" fillId="16" borderId="52" xfId="5" applyFont="1" applyFill="1" applyBorder="1"/>
    <xf numFmtId="0" fontId="69" fillId="20" borderId="1" xfId="0" applyFont="1" applyFill="1" applyBorder="1"/>
    <xf numFmtId="0" fontId="14" fillId="0" borderId="47" xfId="0" applyFont="1" applyBorder="1"/>
    <xf numFmtId="0" fontId="14" fillId="0" borderId="48" xfId="0" applyFont="1" applyBorder="1"/>
    <xf numFmtId="43" fontId="14" fillId="0" borderId="1" xfId="1" applyFont="1" applyBorder="1"/>
    <xf numFmtId="43" fontId="14" fillId="0" borderId="48" xfId="1" applyFont="1" applyBorder="1"/>
    <xf numFmtId="43" fontId="14" fillId="0" borderId="47" xfId="1" applyFont="1" applyBorder="1"/>
    <xf numFmtId="4" fontId="14" fillId="0" borderId="1" xfId="0" applyNumberFormat="1" applyFont="1" applyFill="1" applyBorder="1"/>
    <xf numFmtId="4" fontId="0" fillId="0" borderId="1" xfId="0" applyNumberFormat="1" applyFill="1" applyBorder="1"/>
    <xf numFmtId="2" fontId="0" fillId="0" borderId="1" xfId="0" applyNumberFormat="1" applyFill="1" applyBorder="1"/>
    <xf numFmtId="0" fontId="69" fillId="23" borderId="1" xfId="0" applyFont="1" applyFill="1" applyBorder="1"/>
    <xf numFmtId="0" fontId="69" fillId="23" borderId="1" xfId="0" applyFont="1" applyFill="1" applyBorder="1" applyAlignment="1">
      <alignment wrapText="1"/>
    </xf>
    <xf numFmtId="167" fontId="14" fillId="0" borderId="1" xfId="0" applyNumberFormat="1" applyFont="1" applyFill="1" applyBorder="1"/>
    <xf numFmtId="10" fontId="0" fillId="0" borderId="0" xfId="0" applyNumberFormat="1"/>
    <xf numFmtId="0" fontId="0" fillId="11" borderId="16" xfId="0" applyFill="1" applyBorder="1" applyAlignment="1">
      <alignment horizontal="center"/>
    </xf>
    <xf numFmtId="0" fontId="0" fillId="11" borderId="16" xfId="0" applyFill="1" applyBorder="1"/>
    <xf numFmtId="0" fontId="0" fillId="11" borderId="13" xfId="0" applyFill="1" applyBorder="1" applyAlignment="1">
      <alignment horizontal="center"/>
    </xf>
    <xf numFmtId="0" fontId="23" fillId="11" borderId="10" xfId="0" applyFont="1" applyFill="1" applyBorder="1" applyAlignment="1">
      <alignment horizontal="center" wrapText="1"/>
    </xf>
    <xf numFmtId="3" fontId="0" fillId="11" borderId="13" xfId="0" applyNumberFormat="1" applyFill="1" applyBorder="1"/>
    <xf numFmtId="10" fontId="23" fillId="11" borderId="10" xfId="0" applyNumberFormat="1" applyFont="1" applyFill="1" applyBorder="1"/>
    <xf numFmtId="3" fontId="0" fillId="11" borderId="14" xfId="0" applyNumberFormat="1" applyFill="1" applyBorder="1"/>
    <xf numFmtId="172" fontId="0" fillId="18" borderId="11" xfId="0" applyNumberFormat="1" applyFill="1" applyBorder="1"/>
    <xf numFmtId="173" fontId="23" fillId="11" borderId="11" xfId="0" applyNumberFormat="1" applyFont="1" applyFill="1" applyBorder="1"/>
    <xf numFmtId="10" fontId="23" fillId="11" borderId="11" xfId="0" applyNumberFormat="1" applyFont="1" applyFill="1" applyBorder="1"/>
    <xf numFmtId="10" fontId="23" fillId="11" borderId="12" xfId="0" applyNumberFormat="1" applyFont="1" applyFill="1" applyBorder="1"/>
    <xf numFmtId="0" fontId="14" fillId="0" borderId="0" xfId="0" applyFont="1" applyFill="1" applyBorder="1" applyAlignment="1">
      <alignment horizontal="center"/>
    </xf>
    <xf numFmtId="3" fontId="14" fillId="0" borderId="0" xfId="1" applyNumberFormat="1" applyFont="1" applyFill="1" applyBorder="1" applyAlignment="1"/>
    <xf numFmtId="3" fontId="14" fillId="0" borderId="0" xfId="1" applyNumberFormat="1" applyFont="1" applyFill="1" applyBorder="1"/>
    <xf numFmtId="0" fontId="0" fillId="0" borderId="0" xfId="0" applyFill="1" applyBorder="1" applyAlignment="1">
      <alignment horizontal="center"/>
    </xf>
    <xf numFmtId="0" fontId="23" fillId="0" borderId="0" xfId="0" applyFont="1" applyFill="1" applyBorder="1" applyAlignment="1">
      <alignment horizontal="center" wrapText="1"/>
    </xf>
    <xf numFmtId="3" fontId="0" fillId="0" borderId="0" xfId="0" applyNumberFormat="1" applyFill="1" applyBorder="1"/>
    <xf numFmtId="173" fontId="0" fillId="0" borderId="0" xfId="4" applyNumberFormat="1" applyFont="1" applyFill="1" applyBorder="1"/>
    <xf numFmtId="37" fontId="14" fillId="0" borderId="0" xfId="1" applyNumberFormat="1" applyFont="1" applyFill="1" applyBorder="1"/>
    <xf numFmtId="3" fontId="14" fillId="16" borderId="1" xfId="1" applyNumberFormat="1" applyFont="1" applyFill="1" applyBorder="1"/>
    <xf numFmtId="4" fontId="14" fillId="0" borderId="1" xfId="0" applyNumberFormat="1" applyFont="1" applyBorder="1"/>
    <xf numFmtId="4" fontId="14" fillId="0" borderId="48" xfId="0" applyNumberFormat="1" applyFont="1" applyBorder="1"/>
    <xf numFmtId="4" fontId="14" fillId="0" borderId="47" xfId="1" applyNumberFormat="1" applyFont="1" applyBorder="1"/>
    <xf numFmtId="3" fontId="0" fillId="0" borderId="0" xfId="1" applyNumberFormat="1" applyFont="1" applyFill="1" applyBorder="1"/>
    <xf numFmtId="3" fontId="0" fillId="0" borderId="0" xfId="0" applyNumberFormat="1"/>
    <xf numFmtId="177" fontId="0" fillId="0" borderId="0" xfId="0" applyNumberFormat="1"/>
    <xf numFmtId="0" fontId="0" fillId="0" borderId="1" xfId="0" applyBorder="1" applyAlignment="1"/>
    <xf numFmtId="43" fontId="15" fillId="11" borderId="1" xfId="1" applyNumberFormat="1" applyFont="1" applyFill="1" applyBorder="1"/>
    <xf numFmtId="43" fontId="15" fillId="11" borderId="10" xfId="1" applyNumberFormat="1" applyFont="1" applyFill="1" applyBorder="1"/>
    <xf numFmtId="43" fontId="15" fillId="11" borderId="11" xfId="1" applyNumberFormat="1" applyFont="1" applyFill="1" applyBorder="1"/>
    <xf numFmtId="43" fontId="15" fillId="11" borderId="12" xfId="1" applyNumberFormat="1" applyFont="1" applyFill="1" applyBorder="1"/>
    <xf numFmtId="0" fontId="14" fillId="0" borderId="1" xfId="0" applyFont="1" applyBorder="1" applyAlignment="1">
      <alignment horizontal="left"/>
    </xf>
    <xf numFmtId="0" fontId="14" fillId="17" borderId="13" xfId="0" applyFont="1" applyFill="1" applyBorder="1" applyAlignment="1">
      <alignment horizontal="left" indent="1"/>
    </xf>
    <xf numFmtId="0" fontId="0" fillId="17" borderId="13" xfId="0" applyFill="1" applyBorder="1" applyAlignment="1"/>
    <xf numFmtId="10" fontId="0" fillId="0" borderId="1" xfId="4" applyNumberFormat="1" applyFont="1" applyBorder="1"/>
    <xf numFmtId="10" fontId="0" fillId="0" borderId="10" xfId="0" applyNumberFormat="1" applyBorder="1"/>
    <xf numFmtId="9" fontId="0" fillId="0" borderId="1" xfId="4" applyFont="1" applyBorder="1"/>
    <xf numFmtId="0" fontId="14" fillId="0" borderId="0" xfId="0" quotePrefix="1" applyFont="1"/>
    <xf numFmtId="0" fontId="95" fillId="0" borderId="0" xfId="5" applyFont="1" applyFill="1" applyBorder="1"/>
    <xf numFmtId="0" fontId="14" fillId="0" borderId="0" xfId="0" applyFont="1" applyFill="1" applyBorder="1" applyAlignment="1"/>
    <xf numFmtId="9" fontId="0" fillId="0" borderId="11" xfId="4" applyFont="1" applyFill="1" applyBorder="1"/>
    <xf numFmtId="10" fontId="0" fillId="0" borderId="11" xfId="4" applyNumberFormat="1" applyFont="1" applyFill="1" applyBorder="1"/>
    <xf numFmtId="10" fontId="0" fillId="0" borderId="12" xfId="0" applyNumberFormat="1" applyFill="1" applyBorder="1"/>
    <xf numFmtId="0" fontId="96" fillId="0" borderId="0" xfId="0" applyFont="1"/>
    <xf numFmtId="0" fontId="12" fillId="0" borderId="0" xfId="6"/>
    <xf numFmtId="0" fontId="12" fillId="0" borderId="0" xfId="6" applyAlignment="1">
      <alignment wrapText="1"/>
    </xf>
    <xf numFmtId="0" fontId="97" fillId="24" borderId="1" xfId="6" applyFont="1" applyFill="1" applyBorder="1" applyAlignment="1">
      <alignment horizontal="center" vertical="center" wrapText="1"/>
    </xf>
    <xf numFmtId="0" fontId="12" fillId="25" borderId="1" xfId="6" applyFill="1" applyBorder="1" applyAlignment="1"/>
    <xf numFmtId="3" fontId="12" fillId="0" borderId="1" xfId="6" applyNumberFormat="1" applyBorder="1" applyAlignment="1">
      <alignment wrapText="1"/>
    </xf>
    <xf numFmtId="0" fontId="97" fillId="24" borderId="1" xfId="6" applyFont="1" applyFill="1" applyBorder="1" applyAlignment="1">
      <alignment horizontal="center" wrapText="1"/>
    </xf>
    <xf numFmtId="0" fontId="12" fillId="25" borderId="1" xfId="6" applyFill="1" applyBorder="1"/>
    <xf numFmtId="0" fontId="12" fillId="25" borderId="61" xfId="6" applyFill="1" applyBorder="1"/>
    <xf numFmtId="0" fontId="12" fillId="25" borderId="61" xfId="6" applyFill="1" applyBorder="1" applyAlignment="1">
      <alignment horizontal="center"/>
    </xf>
    <xf numFmtId="3" fontId="12" fillId="0" borderId="1" xfId="6" applyNumberFormat="1" applyBorder="1"/>
    <xf numFmtId="0" fontId="12" fillId="25" borderId="28" xfId="6" applyFill="1" applyBorder="1"/>
    <xf numFmtId="4" fontId="12" fillId="25" borderId="28" xfId="6" applyNumberFormat="1" applyFill="1" applyBorder="1" applyAlignment="1">
      <alignment wrapText="1"/>
    </xf>
    <xf numFmtId="0" fontId="12" fillId="25" borderId="27" xfId="6" applyFill="1" applyBorder="1"/>
    <xf numFmtId="4" fontId="12" fillId="25" borderId="27" xfId="6" applyNumberFormat="1" applyFill="1" applyBorder="1" applyAlignment="1">
      <alignment wrapText="1"/>
    </xf>
    <xf numFmtId="3" fontId="12" fillId="0" borderId="0" xfId="6" applyNumberFormat="1"/>
    <xf numFmtId="0" fontId="12" fillId="25" borderId="33" xfId="6" applyFill="1" applyBorder="1"/>
    <xf numFmtId="4" fontId="12" fillId="25" borderId="33" xfId="6" applyNumberFormat="1" applyFill="1" applyBorder="1" applyAlignment="1">
      <alignment wrapText="1"/>
    </xf>
    <xf numFmtId="0" fontId="98" fillId="25" borderId="31" xfId="6" applyFont="1" applyFill="1" applyBorder="1"/>
    <xf numFmtId="4" fontId="98" fillId="25" borderId="31" xfId="6" applyNumberFormat="1" applyFont="1" applyFill="1" applyBorder="1"/>
    <xf numFmtId="0" fontId="12" fillId="0" borderId="0" xfId="6" applyFill="1" applyBorder="1"/>
    <xf numFmtId="0" fontId="12" fillId="25" borderId="48" xfId="6" applyFill="1" applyBorder="1"/>
    <xf numFmtId="3" fontId="12" fillId="0" borderId="48" xfId="6" applyNumberFormat="1" applyBorder="1" applyAlignment="1">
      <alignment wrapText="1"/>
    </xf>
    <xf numFmtId="0" fontId="98" fillId="25" borderId="47" xfId="6" applyFont="1" applyFill="1" applyBorder="1" applyAlignment="1">
      <alignment horizontal="left"/>
    </xf>
    <xf numFmtId="3" fontId="98" fillId="0" borderId="47" xfId="6" applyNumberFormat="1" applyFont="1" applyBorder="1" applyAlignment="1">
      <alignment wrapText="1"/>
    </xf>
    <xf numFmtId="0" fontId="12" fillId="0" borderId="0" xfId="6" applyAlignment="1"/>
    <xf numFmtId="0" fontId="99" fillId="18" borderId="0" xfId="6" applyFont="1" applyFill="1"/>
    <xf numFmtId="0" fontId="99" fillId="18" borderId="0" xfId="6" applyFont="1" applyFill="1" applyAlignment="1">
      <alignment wrapText="1"/>
    </xf>
    <xf numFmtId="3" fontId="12" fillId="0" borderId="0" xfId="6" applyNumberFormat="1" applyAlignment="1">
      <alignment wrapText="1"/>
    </xf>
    <xf numFmtId="0" fontId="97" fillId="24" borderId="1" xfId="6" applyFont="1" applyFill="1" applyBorder="1"/>
    <xf numFmtId="0" fontId="97" fillId="24" borderId="1" xfId="6" applyFont="1" applyFill="1" applyBorder="1" applyAlignment="1">
      <alignment wrapText="1"/>
    </xf>
    <xf numFmtId="0" fontId="12" fillId="11" borderId="16" xfId="6" applyFill="1" applyBorder="1" applyAlignment="1">
      <alignment horizontal="center"/>
    </xf>
    <xf numFmtId="0" fontId="12" fillId="11" borderId="13" xfId="6" applyFill="1" applyBorder="1" applyAlignment="1">
      <alignment horizontal="center"/>
    </xf>
    <xf numFmtId="0" fontId="12" fillId="11" borderId="1" xfId="6" applyFill="1" applyBorder="1" applyAlignment="1">
      <alignment horizontal="center"/>
    </xf>
    <xf numFmtId="0" fontId="12" fillId="18" borderId="1" xfId="6" applyFill="1" applyBorder="1" applyAlignment="1">
      <alignment horizontal="center" wrapText="1"/>
    </xf>
    <xf numFmtId="0" fontId="23" fillId="11" borderId="1" xfId="6" applyFont="1" applyFill="1" applyBorder="1" applyAlignment="1">
      <alignment horizontal="center" wrapText="1"/>
    </xf>
    <xf numFmtId="0" fontId="23" fillId="11" borderId="10" xfId="6" applyFont="1" applyFill="1" applyBorder="1" applyAlignment="1">
      <alignment horizontal="center" wrapText="1"/>
    </xf>
    <xf numFmtId="0" fontId="12" fillId="11" borderId="16" xfId="6" applyFill="1" applyBorder="1"/>
    <xf numFmtId="3" fontId="12" fillId="11" borderId="13" xfId="6" applyNumberFormat="1" applyFill="1" applyBorder="1"/>
    <xf numFmtId="3" fontId="12" fillId="11" borderId="1" xfId="6" applyNumberFormat="1" applyFill="1" applyBorder="1"/>
    <xf numFmtId="172" fontId="12" fillId="18" borderId="1" xfId="6" applyNumberFormat="1" applyFill="1" applyBorder="1"/>
    <xf numFmtId="173" fontId="23" fillId="11" borderId="1" xfId="6" applyNumberFormat="1" applyFont="1" applyFill="1" applyBorder="1"/>
    <xf numFmtId="10" fontId="23" fillId="11" borderId="1" xfId="6" applyNumberFormat="1" applyFont="1" applyFill="1" applyBorder="1"/>
    <xf numFmtId="10" fontId="23" fillId="11" borderId="10" xfId="6" applyNumberFormat="1" applyFont="1" applyFill="1" applyBorder="1"/>
    <xf numFmtId="3" fontId="12" fillId="11" borderId="14" xfId="6" applyNumberFormat="1" applyFill="1" applyBorder="1"/>
    <xf numFmtId="3" fontId="12" fillId="11" borderId="11" xfId="6" applyNumberFormat="1" applyFill="1" applyBorder="1"/>
    <xf numFmtId="172" fontId="12" fillId="18" borderId="11" xfId="6" applyNumberFormat="1" applyFill="1" applyBorder="1"/>
    <xf numFmtId="173" fontId="23" fillId="11" borderId="11" xfId="6" applyNumberFormat="1" applyFont="1" applyFill="1" applyBorder="1"/>
    <xf numFmtId="10" fontId="23" fillId="11" borderId="11" xfId="6" applyNumberFormat="1" applyFont="1" applyFill="1" applyBorder="1"/>
    <xf numFmtId="10" fontId="23" fillId="11" borderId="12" xfId="6" applyNumberFormat="1" applyFont="1" applyFill="1" applyBorder="1"/>
    <xf numFmtId="0" fontId="97" fillId="24" borderId="16" xfId="6" applyFont="1" applyFill="1" applyBorder="1"/>
    <xf numFmtId="4" fontId="12" fillId="0" borderId="1" xfId="6" applyNumberFormat="1" applyBorder="1" applyAlignment="1">
      <alignment wrapText="1"/>
    </xf>
    <xf numFmtId="0" fontId="12" fillId="25" borderId="16" xfId="6" applyFill="1" applyBorder="1" applyAlignment="1"/>
    <xf numFmtId="2" fontId="12" fillId="0" borderId="1" xfId="6" applyNumberFormat="1" applyBorder="1"/>
    <xf numFmtId="0" fontId="12" fillId="25" borderId="16" xfId="6" applyFill="1" applyBorder="1"/>
    <xf numFmtId="4" fontId="12" fillId="0" borderId="48" xfId="6" applyNumberFormat="1" applyBorder="1" applyAlignment="1">
      <alignment wrapText="1"/>
    </xf>
    <xf numFmtId="4" fontId="98" fillId="0" borderId="47" xfId="6" applyNumberFormat="1" applyFont="1" applyBorder="1" applyAlignment="1">
      <alignment wrapText="1"/>
    </xf>
    <xf numFmtId="0" fontId="98" fillId="0" borderId="0" xfId="6" applyFont="1" applyFill="1" applyBorder="1" applyAlignment="1">
      <alignment horizontal="left"/>
    </xf>
    <xf numFmtId="3" fontId="12" fillId="0" borderId="0" xfId="6" applyNumberFormat="1" applyFill="1" applyBorder="1"/>
    <xf numFmtId="4" fontId="83" fillId="0" borderId="0" xfId="5" applyNumberFormat="1" applyFont="1"/>
    <xf numFmtId="0" fontId="100" fillId="0" borderId="0" xfId="5" applyFont="1"/>
    <xf numFmtId="4" fontId="90" fillId="0" borderId="1" xfId="5" applyNumberFormat="1" applyFont="1" applyBorder="1"/>
    <xf numFmtId="0" fontId="69" fillId="20" borderId="0" xfId="5" applyFont="1" applyFill="1" applyBorder="1" applyAlignment="1">
      <alignment wrapText="1"/>
    </xf>
    <xf numFmtId="0" fontId="105" fillId="20" borderId="1" xfId="5" applyFont="1" applyFill="1" applyBorder="1" applyAlignment="1">
      <alignment horizontal="center" vertical="center"/>
    </xf>
    <xf numFmtId="0" fontId="104" fillId="4" borderId="1" xfId="0" applyFont="1" applyFill="1" applyBorder="1" applyAlignment="1">
      <alignment horizontal="center" vertical="center" wrapText="1"/>
    </xf>
    <xf numFmtId="0" fontId="69" fillId="20" borderId="1" xfId="5" applyFont="1" applyFill="1" applyBorder="1" applyAlignment="1">
      <alignment horizontal="center" vertical="center" wrapText="1"/>
    </xf>
    <xf numFmtId="178" fontId="0" fillId="0" borderId="1" xfId="0" applyNumberFormat="1" applyBorder="1"/>
    <xf numFmtId="0" fontId="90" fillId="15" borderId="1" xfId="5" applyFont="1" applyFill="1" applyBorder="1"/>
    <xf numFmtId="40" fontId="0" fillId="0" borderId="1" xfId="0" applyNumberFormat="1" applyBorder="1"/>
    <xf numFmtId="178" fontId="16" fillId="0" borderId="1" xfId="0" applyNumberFormat="1" applyFont="1" applyBorder="1"/>
    <xf numFmtId="0" fontId="107" fillId="0" borderId="0" xfId="5" applyFont="1"/>
    <xf numFmtId="0" fontId="108" fillId="0" borderId="0" xfId="0" applyFont="1"/>
    <xf numFmtId="0" fontId="107" fillId="16" borderId="55" xfId="5" applyFont="1" applyFill="1" applyBorder="1"/>
    <xf numFmtId="0" fontId="100" fillId="16" borderId="4" xfId="5" applyFont="1" applyFill="1" applyBorder="1"/>
    <xf numFmtId="0" fontId="100" fillId="16" borderId="50" xfId="5" applyFont="1" applyFill="1" applyBorder="1"/>
    <xf numFmtId="0" fontId="100" fillId="0" borderId="0" xfId="5" applyFont="1" applyAlignment="1"/>
    <xf numFmtId="0" fontId="106" fillId="0" borderId="0" xfId="5" applyFont="1" applyAlignment="1"/>
    <xf numFmtId="0" fontId="106" fillId="0" borderId="0" xfId="5" applyFont="1"/>
    <xf numFmtId="4" fontId="16" fillId="0" borderId="1" xfId="0" applyNumberFormat="1" applyFont="1" applyFill="1" applyBorder="1"/>
    <xf numFmtId="40" fontId="83" fillId="0" borderId="1" xfId="5" applyNumberFormat="1" applyFont="1" applyBorder="1"/>
    <xf numFmtId="0" fontId="69" fillId="20" borderId="64" xfId="5" applyFont="1" applyFill="1" applyBorder="1" applyAlignment="1">
      <alignment horizontal="center" vertical="center" wrapText="1"/>
    </xf>
    <xf numFmtId="4" fontId="0" fillId="0" borderId="1" xfId="0" applyNumberFormat="1" applyBorder="1"/>
    <xf numFmtId="4" fontId="111" fillId="0" borderId="1" xfId="0" applyNumberFormat="1" applyFont="1" applyBorder="1"/>
    <xf numFmtId="4" fontId="16" fillId="0" borderId="1" xfId="0" applyNumberFormat="1" applyFont="1" applyBorder="1"/>
    <xf numFmtId="4" fontId="112" fillId="0" borderId="1" xfId="0" applyNumberFormat="1" applyFont="1" applyBorder="1"/>
    <xf numFmtId="0" fontId="21" fillId="4" borderId="6" xfId="7" applyFont="1" applyFill="1" applyBorder="1" applyAlignment="1">
      <alignment horizontal="center" wrapText="1"/>
    </xf>
    <xf numFmtId="40" fontId="13" fillId="0" borderId="0" xfId="5" applyNumberFormat="1"/>
    <xf numFmtId="0" fontId="69" fillId="20" borderId="1" xfId="5" applyFont="1" applyFill="1" applyBorder="1" applyAlignment="1">
      <alignment horizontal="center" vertical="center"/>
    </xf>
    <xf numFmtId="40" fontId="13" fillId="0" borderId="1" xfId="5" applyNumberFormat="1" applyBorder="1"/>
    <xf numFmtId="0" fontId="11" fillId="0" borderId="0" xfId="5" applyFont="1"/>
    <xf numFmtId="40" fontId="13" fillId="0" borderId="16" xfId="5" applyNumberFormat="1" applyBorder="1"/>
    <xf numFmtId="0" fontId="10" fillId="0" borderId="0" xfId="5" applyFont="1"/>
    <xf numFmtId="0" fontId="21" fillId="4" borderId="0" xfId="7" applyFont="1" applyFill="1" applyBorder="1" applyAlignment="1">
      <alignment horizontal="center" wrapText="1"/>
    </xf>
    <xf numFmtId="40" fontId="16" fillId="0" borderId="1" xfId="0" applyNumberFormat="1" applyFont="1" applyBorder="1"/>
    <xf numFmtId="0" fontId="25" fillId="20" borderId="0" xfId="0" applyFont="1" applyFill="1" applyBorder="1" applyAlignment="1">
      <alignment horizontal="center" wrapText="1"/>
    </xf>
    <xf numFmtId="0" fontId="113" fillId="0" borderId="0" xfId="0" applyFont="1"/>
    <xf numFmtId="40" fontId="14" fillId="0" borderId="1" xfId="0" applyNumberFormat="1" applyFont="1" applyBorder="1"/>
    <xf numFmtId="0" fontId="25" fillId="20" borderId="56" xfId="0" applyFont="1" applyFill="1" applyBorder="1" applyAlignment="1">
      <alignment horizontal="center" wrapText="1"/>
    </xf>
    <xf numFmtId="3" fontId="0" fillId="0" borderId="1" xfId="0" applyNumberFormat="1" applyBorder="1"/>
    <xf numFmtId="0" fontId="9" fillId="0" borderId="0" xfId="6" applyFont="1"/>
    <xf numFmtId="40" fontId="0" fillId="0" borderId="0" xfId="0" applyNumberFormat="1"/>
    <xf numFmtId="0" fontId="25" fillId="20" borderId="0" xfId="0" applyFont="1" applyFill="1" applyBorder="1" applyAlignment="1">
      <alignment horizontal="center" vertical="center" wrapText="1"/>
    </xf>
    <xf numFmtId="40" fontId="16" fillId="0" borderId="1" xfId="0" applyNumberFormat="1" applyFont="1" applyBorder="1" applyAlignment="1">
      <alignment horizontal="center" vertical="center"/>
    </xf>
    <xf numFmtId="40" fontId="16" fillId="0" borderId="1" xfId="0" applyNumberFormat="1" applyFont="1" applyBorder="1" applyAlignment="1">
      <alignment horizontal="center"/>
    </xf>
    <xf numFmtId="40" fontId="14" fillId="0" borderId="1" xfId="0" applyNumberFormat="1" applyFont="1" applyBorder="1" applyAlignment="1">
      <alignment horizontal="center" vertical="center"/>
    </xf>
    <xf numFmtId="0" fontId="0" fillId="0" borderId="0" xfId="0" applyAlignment="1">
      <alignment vertical="center"/>
    </xf>
    <xf numFmtId="0" fontId="69" fillId="20" borderId="1" xfId="0" applyFont="1" applyFill="1" applyBorder="1" applyAlignment="1">
      <alignment horizontal="center" vertical="center"/>
    </xf>
    <xf numFmtId="40" fontId="16" fillId="0" borderId="1" xfId="1" applyNumberFormat="1" applyFont="1" applyBorder="1"/>
    <xf numFmtId="4" fontId="114" fillId="0" borderId="1" xfId="0" applyNumberFormat="1" applyFont="1" applyFill="1" applyBorder="1"/>
    <xf numFmtId="178" fontId="0" fillId="0" borderId="1" xfId="0" applyNumberFormat="1" applyBorder="1" applyAlignment="1">
      <alignment horizontal="center"/>
    </xf>
    <xf numFmtId="0" fontId="12" fillId="26" borderId="61" xfId="6" applyFill="1" applyBorder="1" applyAlignment="1">
      <alignment vertical="center"/>
    </xf>
    <xf numFmtId="0" fontId="12" fillId="26" borderId="61" xfId="6" applyFill="1" applyBorder="1" applyAlignment="1">
      <alignment horizontal="center" vertical="center"/>
    </xf>
    <xf numFmtId="0" fontId="12" fillId="26" borderId="28" xfId="6" applyFill="1" applyBorder="1" applyAlignment="1">
      <alignment vertical="center"/>
    </xf>
    <xf numFmtId="4" fontId="12" fillId="26" borderId="28" xfId="6" applyNumberFormat="1" applyFill="1" applyBorder="1" applyAlignment="1">
      <alignment vertical="center" wrapText="1"/>
    </xf>
    <xf numFmtId="0" fontId="12" fillId="26" borderId="27" xfId="6" applyFill="1" applyBorder="1" applyAlignment="1">
      <alignment vertical="center"/>
    </xf>
    <xf numFmtId="4" fontId="12" fillId="26" borderId="27" xfId="6" applyNumberFormat="1" applyFill="1" applyBorder="1" applyAlignment="1">
      <alignment vertical="center" wrapText="1"/>
    </xf>
    <xf numFmtId="0" fontId="12" fillId="26" borderId="33" xfId="6" applyFill="1" applyBorder="1" applyAlignment="1">
      <alignment vertical="center"/>
    </xf>
    <xf numFmtId="4" fontId="12" fillId="26" borderId="33" xfId="6" applyNumberFormat="1" applyFill="1" applyBorder="1" applyAlignment="1">
      <alignment vertical="center" wrapText="1"/>
    </xf>
    <xf numFmtId="0" fontId="115" fillId="26" borderId="31" xfId="6" applyFont="1" applyFill="1" applyBorder="1" applyAlignment="1">
      <alignment vertical="center"/>
    </xf>
    <xf numFmtId="4" fontId="115" fillId="26" borderId="31" xfId="6" applyNumberFormat="1" applyFont="1" applyFill="1" applyBorder="1" applyAlignment="1">
      <alignment vertical="center"/>
    </xf>
    <xf numFmtId="0" fontId="8" fillId="0" borderId="0" xfId="6" applyFont="1"/>
    <xf numFmtId="0" fontId="116" fillId="24" borderId="1" xfId="6" applyFont="1" applyFill="1" applyBorder="1" applyAlignment="1">
      <alignment horizontal="center" wrapText="1"/>
    </xf>
    <xf numFmtId="0" fontId="117" fillId="0" borderId="1" xfId="6" applyFont="1" applyBorder="1"/>
    <xf numFmtId="3" fontId="117" fillId="0" borderId="1" xfId="6" applyNumberFormat="1" applyFont="1" applyBorder="1"/>
    <xf numFmtId="0" fontId="118" fillId="0" borderId="1" xfId="6" applyFont="1" applyBorder="1" applyAlignment="1">
      <alignment horizontal="left"/>
    </xf>
    <xf numFmtId="3" fontId="118" fillId="0" borderId="1" xfId="6" applyNumberFormat="1" applyFont="1" applyBorder="1"/>
    <xf numFmtId="0" fontId="116" fillId="24" borderId="1" xfId="6" applyFont="1" applyFill="1" applyBorder="1" applyAlignment="1">
      <alignment horizontal="center" vertical="center" wrapText="1"/>
    </xf>
    <xf numFmtId="0" fontId="7" fillId="0" borderId="0" xfId="5" applyFont="1"/>
    <xf numFmtId="4" fontId="13" fillId="0" borderId="0" xfId="5" applyNumberFormat="1"/>
    <xf numFmtId="40" fontId="106" fillId="0" borderId="1" xfId="5" applyNumberFormat="1" applyFont="1" applyBorder="1"/>
    <xf numFmtId="4" fontId="13" fillId="0" borderId="1" xfId="5" applyNumberFormat="1" applyBorder="1"/>
    <xf numFmtId="4" fontId="13" fillId="0" borderId="1" xfId="5" applyNumberFormat="1" applyBorder="1" applyAlignment="1">
      <alignment vertical="center"/>
    </xf>
    <xf numFmtId="0" fontId="6" fillId="0" borderId="0" xfId="5" applyFont="1"/>
    <xf numFmtId="0" fontId="119" fillId="20" borderId="1" xfId="5" applyFont="1" applyFill="1" applyBorder="1" applyAlignment="1">
      <alignment horizontal="center" vertical="center" wrapText="1"/>
    </xf>
    <xf numFmtId="38" fontId="13" fillId="0" borderId="1" xfId="5" applyNumberFormat="1" applyBorder="1"/>
    <xf numFmtId="38" fontId="13" fillId="0" borderId="1" xfId="5" applyNumberFormat="1" applyBorder="1" applyAlignment="1">
      <alignment vertical="center"/>
    </xf>
    <xf numFmtId="38" fontId="83" fillId="0" borderId="1" xfId="5" applyNumberFormat="1" applyFont="1" applyBorder="1"/>
    <xf numFmtId="40" fontId="13" fillId="0" borderId="47" xfId="5" applyNumberFormat="1" applyBorder="1"/>
    <xf numFmtId="0" fontId="97" fillId="24" borderId="1" xfId="6" applyFont="1" applyFill="1" applyBorder="1" applyAlignment="1">
      <alignment horizontal="center" vertical="center" wrapText="1"/>
    </xf>
    <xf numFmtId="0" fontId="5" fillId="0" borderId="0" xfId="5" applyFont="1"/>
    <xf numFmtId="38" fontId="98" fillId="0" borderId="1" xfId="5" applyNumberFormat="1" applyFont="1" applyBorder="1"/>
    <xf numFmtId="38" fontId="98" fillId="0" borderId="16" xfId="5" applyNumberFormat="1" applyFont="1" applyBorder="1"/>
    <xf numFmtId="38" fontId="13" fillId="0" borderId="1" xfId="5" applyNumberFormat="1" applyBorder="1" applyAlignment="1">
      <alignment horizontal="center" vertical="center"/>
    </xf>
    <xf numFmtId="0" fontId="69" fillId="20" borderId="37" xfId="5" applyFont="1" applyFill="1" applyBorder="1" applyAlignment="1">
      <alignment wrapText="1"/>
    </xf>
    <xf numFmtId="38" fontId="82" fillId="0" borderId="61" xfId="5" applyNumberFormat="1" applyFont="1" applyBorder="1"/>
    <xf numFmtId="0" fontId="97" fillId="24" borderId="1" xfId="6" applyFont="1" applyFill="1" applyBorder="1" applyAlignment="1">
      <alignment horizontal="center" vertical="center" wrapText="1"/>
    </xf>
    <xf numFmtId="38" fontId="12" fillId="0" borderId="0" xfId="6" applyNumberFormat="1" applyAlignment="1">
      <alignment wrapText="1"/>
    </xf>
    <xf numFmtId="38" fontId="0" fillId="2" borderId="2" xfId="0" applyNumberFormat="1" applyFill="1" applyBorder="1"/>
    <xf numFmtId="179" fontId="12" fillId="0" borderId="0" xfId="6" applyNumberFormat="1" applyAlignment="1">
      <alignment wrapText="1"/>
    </xf>
    <xf numFmtId="179" fontId="12" fillId="0" borderId="0" xfId="6" applyNumberFormat="1"/>
    <xf numFmtId="179" fontId="12" fillId="0" borderId="1" xfId="6" applyNumberFormat="1" applyBorder="1" applyAlignment="1">
      <alignment horizontal="center"/>
    </xf>
    <xf numFmtId="38" fontId="12" fillId="0" borderId="1" xfId="6" applyNumberFormat="1" applyBorder="1" applyAlignment="1">
      <alignment horizontal="center" wrapText="1"/>
    </xf>
    <xf numFmtId="0" fontId="97" fillId="24" borderId="1" xfId="6" applyFont="1" applyFill="1" applyBorder="1" applyAlignment="1">
      <alignment horizontal="center" vertical="center" wrapText="1"/>
    </xf>
    <xf numFmtId="4" fontId="12" fillId="0" borderId="1" xfId="6" applyNumberFormat="1" applyBorder="1"/>
    <xf numFmtId="0" fontId="12" fillId="0" borderId="1" xfId="6" applyBorder="1"/>
    <xf numFmtId="179" fontId="12" fillId="0" borderId="1" xfId="6" applyNumberFormat="1" applyBorder="1"/>
    <xf numFmtId="0" fontId="12" fillId="0" borderId="0" xfId="6" applyBorder="1"/>
    <xf numFmtId="0" fontId="97" fillId="24" borderId="16" xfId="6" applyFont="1" applyFill="1" applyBorder="1" applyAlignment="1">
      <alignment horizontal="center" vertical="center" wrapText="1"/>
    </xf>
    <xf numFmtId="0" fontId="12" fillId="16" borderId="0" xfId="6" applyFill="1" applyBorder="1"/>
    <xf numFmtId="0" fontId="12" fillId="16" borderId="0" xfId="6" applyFill="1"/>
    <xf numFmtId="0" fontId="13" fillId="16" borderId="0" xfId="5" applyFill="1"/>
    <xf numFmtId="0" fontId="4" fillId="0" borderId="0" xfId="5" applyFont="1"/>
    <xf numFmtId="0" fontId="120" fillId="16" borderId="0" xfId="5" applyFont="1" applyFill="1"/>
    <xf numFmtId="0" fontId="121" fillId="16" borderId="0" xfId="5" applyFont="1" applyFill="1"/>
    <xf numFmtId="0" fontId="98" fillId="16" borderId="0" xfId="5" applyFont="1" applyFill="1"/>
    <xf numFmtId="0" fontId="123" fillId="16" borderId="0" xfId="5" applyFont="1" applyFill="1"/>
    <xf numFmtId="0" fontId="125" fillId="16" borderId="0" xfId="5" applyFont="1" applyFill="1"/>
    <xf numFmtId="0" fontId="120" fillId="0" borderId="0" xfId="5" applyFont="1"/>
    <xf numFmtId="0" fontId="126" fillId="0" borderId="0" xfId="5" applyFont="1"/>
    <xf numFmtId="0" fontId="126" fillId="16" borderId="0" xfId="5" applyFont="1" applyFill="1"/>
    <xf numFmtId="0" fontId="12" fillId="16" borderId="0" xfId="6" applyFill="1" applyAlignment="1">
      <alignment wrapText="1"/>
    </xf>
    <xf numFmtId="0" fontId="3" fillId="16" borderId="0" xfId="6" applyFont="1" applyFill="1"/>
    <xf numFmtId="17" fontId="127" fillId="0" borderId="0" xfId="0" applyNumberFormat="1" applyFont="1" applyAlignment="1">
      <alignment horizontal="center" wrapText="1"/>
    </xf>
    <xf numFmtId="3" fontId="12" fillId="16" borderId="0" xfId="6" applyNumberFormat="1" applyFill="1" applyAlignment="1">
      <alignment wrapText="1"/>
    </xf>
    <xf numFmtId="3" fontId="12" fillId="16" borderId="0" xfId="6" applyNumberFormat="1" applyFill="1"/>
    <xf numFmtId="0" fontId="12" fillId="16" borderId="0" xfId="6" applyFill="1" applyAlignment="1"/>
    <xf numFmtId="4" fontId="12" fillId="16" borderId="1" xfId="6" applyNumberFormat="1" applyFill="1" applyBorder="1"/>
    <xf numFmtId="179" fontId="12" fillId="16" borderId="1" xfId="6" applyNumberFormat="1" applyFill="1" applyBorder="1"/>
    <xf numFmtId="3" fontId="2" fillId="16" borderId="1" xfId="6" applyNumberFormat="1" applyFont="1" applyFill="1" applyBorder="1" applyAlignment="1">
      <alignment wrapText="1"/>
    </xf>
    <xf numFmtId="0" fontId="2" fillId="25" borderId="1" xfId="6" applyFont="1" applyFill="1" applyBorder="1"/>
    <xf numFmtId="166" fontId="0" fillId="3" borderId="55" xfId="1" applyNumberFormat="1" applyFont="1" applyFill="1" applyBorder="1"/>
    <xf numFmtId="166" fontId="14" fillId="3" borderId="16" xfId="1" applyNumberFormat="1" applyFill="1" applyBorder="1"/>
    <xf numFmtId="43" fontId="14" fillId="3" borderId="16" xfId="1" applyFont="1" applyFill="1" applyBorder="1"/>
    <xf numFmtId="166" fontId="14" fillId="3" borderId="16" xfId="1" applyNumberFormat="1" applyFont="1" applyFill="1" applyBorder="1"/>
    <xf numFmtId="166" fontId="0" fillId="3" borderId="16" xfId="1" applyNumberFormat="1" applyFont="1" applyFill="1" applyBorder="1"/>
    <xf numFmtId="166" fontId="0" fillId="3" borderId="55" xfId="4" applyNumberFormat="1" applyFont="1" applyFill="1" applyBorder="1"/>
    <xf numFmtId="166" fontId="0" fillId="16" borderId="55" xfId="4" applyNumberFormat="1" applyFont="1" applyFill="1" applyBorder="1"/>
    <xf numFmtId="166" fontId="0" fillId="3" borderId="1" xfId="4" applyNumberFormat="1" applyFont="1" applyFill="1" applyBorder="1"/>
    <xf numFmtId="0" fontId="14" fillId="0" borderId="60" xfId="0" applyFont="1" applyBorder="1"/>
    <xf numFmtId="166" fontId="0" fillId="3" borderId="1" xfId="1" applyNumberFormat="1" applyFont="1" applyFill="1" applyBorder="1"/>
    <xf numFmtId="166" fontId="0" fillId="16" borderId="55" xfId="1" applyNumberFormat="1" applyFont="1" applyFill="1" applyBorder="1"/>
    <xf numFmtId="166" fontId="16" fillId="0" borderId="1" xfId="0" applyNumberFormat="1" applyFont="1" applyBorder="1"/>
    <xf numFmtId="0" fontId="16" fillId="0" borderId="1" xfId="0" applyFont="1" applyBorder="1" applyAlignment="1">
      <alignment horizontal="right"/>
    </xf>
    <xf numFmtId="0" fontId="1" fillId="0" borderId="0" xfId="6" applyFont="1" applyFill="1" applyBorder="1"/>
    <xf numFmtId="3" fontId="0" fillId="0" borderId="47" xfId="0" applyNumberFormat="1" applyBorder="1"/>
    <xf numFmtId="3" fontId="0" fillId="0" borderId="48" xfId="0" applyNumberFormat="1" applyBorder="1"/>
    <xf numFmtId="3" fontId="16" fillId="0" borderId="1" xfId="0" applyNumberFormat="1" applyFont="1" applyBorder="1"/>
    <xf numFmtId="3" fontId="16" fillId="0" borderId="48" xfId="0" applyNumberFormat="1" applyFont="1" applyBorder="1"/>
    <xf numFmtId="3" fontId="16" fillId="0" borderId="47" xfId="0" applyNumberFormat="1" applyFont="1" applyBorder="1"/>
    <xf numFmtId="0" fontId="129" fillId="24" borderId="1" xfId="6" applyFont="1" applyFill="1" applyBorder="1" applyAlignment="1">
      <alignment horizontal="center" vertical="center" wrapText="1"/>
    </xf>
    <xf numFmtId="0" fontId="128" fillId="24" borderId="1" xfId="0" applyFont="1" applyFill="1" applyBorder="1" applyAlignment="1">
      <alignment horizontal="center"/>
    </xf>
    <xf numFmtId="0" fontId="69" fillId="24" borderId="1" xfId="0" applyFont="1" applyFill="1" applyBorder="1" applyAlignment="1">
      <alignment horizontal="center"/>
    </xf>
    <xf numFmtId="0" fontId="128" fillId="24" borderId="1" xfId="0" applyFont="1" applyFill="1" applyBorder="1" applyAlignment="1">
      <alignment horizontal="center" wrapText="1"/>
    </xf>
    <xf numFmtId="0" fontId="1" fillId="16" borderId="0" xfId="6" applyFont="1" applyFill="1" applyBorder="1"/>
    <xf numFmtId="0" fontId="21" fillId="4" borderId="6" xfId="0" applyFont="1" applyFill="1" applyBorder="1" applyAlignment="1">
      <alignment wrapText="1"/>
    </xf>
    <xf numFmtId="0" fontId="21" fillId="4" borderId="47" xfId="0" applyFont="1" applyFill="1" applyBorder="1" applyAlignment="1">
      <alignment wrapText="1"/>
    </xf>
    <xf numFmtId="0" fontId="21" fillId="4" borderId="6" xfId="0" applyFont="1" applyFill="1" applyBorder="1" applyAlignment="1">
      <alignment horizontal="center" wrapText="1"/>
    </xf>
    <xf numFmtId="0" fontId="21" fillId="4" borderId="47" xfId="0" applyFont="1" applyFill="1" applyBorder="1" applyAlignment="1">
      <alignment horizontal="center" wrapText="1"/>
    </xf>
    <xf numFmtId="0" fontId="16" fillId="7" borderId="1" xfId="0" applyFont="1" applyFill="1" applyBorder="1" applyAlignment="1">
      <alignment horizontal="center" vertical="center"/>
    </xf>
    <xf numFmtId="0" fontId="0" fillId="7" borderId="1" xfId="0" applyFill="1" applyBorder="1" applyAlignment="1">
      <alignment horizontal="center" vertical="center"/>
    </xf>
    <xf numFmtId="0" fontId="0" fillId="7" borderId="1" xfId="0" applyFill="1" applyBorder="1" applyAlignment="1"/>
    <xf numFmtId="0" fontId="0" fillId="0" borderId="1" xfId="0" applyBorder="1" applyAlignment="1"/>
    <xf numFmtId="0" fontId="16" fillId="0" borderId="36" xfId="0" applyFont="1" applyBorder="1" applyAlignment="1">
      <alignment horizontal="center"/>
    </xf>
    <xf numFmtId="0" fontId="0" fillId="0" borderId="38" xfId="0" applyBorder="1" applyAlignment="1"/>
    <xf numFmtId="0" fontId="0" fillId="0" borderId="39" xfId="0" applyBorder="1" applyAlignment="1"/>
    <xf numFmtId="0" fontId="0" fillId="0" borderId="47" xfId="0" applyBorder="1" applyAlignment="1">
      <alignment horizontal="center" wrapText="1"/>
    </xf>
    <xf numFmtId="0" fontId="21" fillId="4" borderId="16" xfId="0" applyFont="1" applyFill="1" applyBorder="1" applyAlignment="1">
      <alignment horizontal="center" wrapText="1"/>
    </xf>
    <xf numFmtId="0" fontId="21" fillId="4" borderId="18" xfId="0" applyFont="1" applyFill="1" applyBorder="1" applyAlignment="1">
      <alignment horizontal="center" wrapText="1"/>
    </xf>
    <xf numFmtId="0" fontId="0" fillId="2" borderId="18" xfId="0" applyFill="1" applyBorder="1" applyAlignment="1">
      <alignment horizontal="center" wrapText="1"/>
    </xf>
    <xf numFmtId="0" fontId="0" fillId="0" borderId="40" xfId="0" applyBorder="1" applyAlignment="1">
      <alignment horizontal="center" wrapText="1"/>
    </xf>
    <xf numFmtId="0" fontId="16" fillId="0" borderId="38" xfId="0" applyFont="1" applyBorder="1" applyAlignment="1">
      <alignment horizontal="center" wrapText="1"/>
    </xf>
    <xf numFmtId="0" fontId="16" fillId="0" borderId="5" xfId="0" applyFont="1" applyBorder="1" applyAlignment="1">
      <alignment horizontal="center" wrapText="1"/>
    </xf>
    <xf numFmtId="0" fontId="16" fillId="0" borderId="38" xfId="0" applyFont="1" applyBorder="1" applyAlignment="1">
      <alignment horizontal="center"/>
    </xf>
    <xf numFmtId="0" fontId="21" fillId="4" borderId="4" xfId="0" applyFont="1" applyFill="1" applyBorder="1" applyAlignment="1">
      <alignment horizontal="center" wrapText="1"/>
    </xf>
    <xf numFmtId="0" fontId="21" fillId="4" borderId="0" xfId="0" applyFont="1" applyFill="1" applyBorder="1" applyAlignment="1">
      <alignment horizontal="center" wrapText="1"/>
    </xf>
    <xf numFmtId="0" fontId="0" fillId="2" borderId="0" xfId="0" applyFill="1" applyBorder="1" applyAlignment="1">
      <alignment horizontal="center" wrapText="1"/>
    </xf>
    <xf numFmtId="0" fontId="0" fillId="0" borderId="0" xfId="0" applyAlignment="1"/>
    <xf numFmtId="0" fontId="21" fillId="4" borderId="55" xfId="0" applyFont="1" applyFill="1" applyBorder="1" applyAlignment="1">
      <alignment horizontal="center" wrapText="1"/>
    </xf>
    <xf numFmtId="0" fontId="21" fillId="4" borderId="25" xfId="0" applyFont="1" applyFill="1" applyBorder="1" applyAlignment="1">
      <alignment horizontal="center" wrapText="1"/>
    </xf>
    <xf numFmtId="0" fontId="21" fillId="4" borderId="66" xfId="0" applyFont="1" applyFill="1" applyBorder="1" applyAlignment="1">
      <alignment horizontal="center" wrapText="1"/>
    </xf>
    <xf numFmtId="0" fontId="14" fillId="0" borderId="37" xfId="0" applyFont="1" applyBorder="1" applyAlignment="1">
      <alignment horizontal="left" vertical="center" wrapText="1"/>
    </xf>
    <xf numFmtId="0" fontId="14" fillId="0" borderId="75" xfId="0" applyFont="1" applyBorder="1" applyAlignment="1">
      <alignment horizontal="left" vertical="center" wrapText="1"/>
    </xf>
    <xf numFmtId="0" fontId="14" fillId="0" borderId="76" xfId="0" applyFont="1" applyBorder="1" applyAlignment="1">
      <alignment horizontal="left" vertical="center" wrapText="1"/>
    </xf>
    <xf numFmtId="0" fontId="52" fillId="0" borderId="0" xfId="0" applyFont="1" applyBorder="1" applyAlignment="1">
      <alignment horizontal="center"/>
    </xf>
    <xf numFmtId="0" fontId="21" fillId="4" borderId="70" xfId="0" applyFont="1" applyFill="1" applyBorder="1" applyAlignment="1">
      <alignment horizontal="center" wrapText="1"/>
    </xf>
    <xf numFmtId="0" fontId="0" fillId="0" borderId="8" xfId="0" applyBorder="1" applyAlignment="1">
      <alignment horizontal="center" wrapText="1"/>
    </xf>
    <xf numFmtId="0" fontId="16" fillId="7" borderId="56" xfId="0" applyFont="1" applyFill="1"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21" fillId="4" borderId="7" xfId="0" applyFont="1" applyFill="1" applyBorder="1" applyAlignment="1">
      <alignment horizontal="center" wrapText="1"/>
    </xf>
    <xf numFmtId="0" fontId="21" fillId="4" borderId="13" xfId="0" applyFont="1" applyFill="1" applyBorder="1" applyAlignment="1">
      <alignment horizontal="center" wrapText="1"/>
    </xf>
    <xf numFmtId="0" fontId="21" fillId="4" borderId="8" xfId="0" applyFont="1" applyFill="1" applyBorder="1" applyAlignment="1">
      <alignment wrapText="1"/>
    </xf>
    <xf numFmtId="0" fontId="21" fillId="4" borderId="1" xfId="0" applyFont="1" applyFill="1" applyBorder="1" applyAlignment="1">
      <alignment wrapText="1"/>
    </xf>
    <xf numFmtId="0" fontId="21" fillId="4" borderId="15" xfId="0" applyFont="1" applyFill="1" applyBorder="1" applyAlignment="1">
      <alignment horizontal="center" wrapText="1"/>
    </xf>
    <xf numFmtId="0" fontId="16" fillId="7" borderId="71" xfId="0" applyFont="1" applyFill="1" applyBorder="1" applyAlignment="1">
      <alignment horizontal="center" vertical="center"/>
    </xf>
    <xf numFmtId="0" fontId="16" fillId="7" borderId="67" xfId="0" applyFont="1" applyFill="1" applyBorder="1" applyAlignment="1">
      <alignment horizontal="center" vertical="center"/>
    </xf>
    <xf numFmtId="0" fontId="0" fillId="0" borderId="67" xfId="0" applyBorder="1" applyAlignment="1">
      <alignment horizontal="center" vertical="center"/>
    </xf>
    <xf numFmtId="0" fontId="21" fillId="4" borderId="62" xfId="0" applyFont="1" applyFill="1" applyBorder="1" applyAlignment="1">
      <alignment horizontal="center" wrapText="1"/>
    </xf>
    <xf numFmtId="0" fontId="21" fillId="4" borderId="42" xfId="0" applyFont="1" applyFill="1" applyBorder="1" applyAlignment="1">
      <alignment horizontal="center" wrapText="1"/>
    </xf>
    <xf numFmtId="0" fontId="0" fillId="2" borderId="42" xfId="0" applyFill="1" applyBorder="1" applyAlignment="1">
      <alignment horizontal="center" wrapText="1"/>
    </xf>
    <xf numFmtId="0" fontId="0" fillId="0" borderId="73" xfId="0" applyBorder="1" applyAlignment="1">
      <alignment horizontal="center" wrapText="1"/>
    </xf>
    <xf numFmtId="0" fontId="21" fillId="4" borderId="8" xfId="0" applyFont="1" applyFill="1" applyBorder="1" applyAlignment="1">
      <alignment horizontal="center" wrapText="1"/>
    </xf>
    <xf numFmtId="0" fontId="0" fillId="0" borderId="9" xfId="0" applyBorder="1" applyAlignment="1">
      <alignment horizontal="center" wrapText="1"/>
    </xf>
    <xf numFmtId="0" fontId="0" fillId="11" borderId="62" xfId="0" applyFill="1" applyBorder="1" applyAlignment="1">
      <alignment horizontal="center" wrapText="1"/>
    </xf>
    <xf numFmtId="0" fontId="0" fillId="11" borderId="42" xfId="0" applyFill="1" applyBorder="1" applyAlignment="1">
      <alignment horizontal="center" wrapText="1"/>
    </xf>
    <xf numFmtId="0" fontId="0" fillId="11" borderId="73" xfId="0" applyFill="1" applyBorder="1" applyAlignment="1">
      <alignment horizontal="center" wrapText="1"/>
    </xf>
    <xf numFmtId="0" fontId="14" fillId="0" borderId="0" xfId="0" applyFont="1" applyFill="1" applyBorder="1" applyAlignment="1">
      <alignment horizontal="center" wrapText="1"/>
    </xf>
    <xf numFmtId="0" fontId="93" fillId="20" borderId="7" xfId="0" applyFont="1" applyFill="1" applyBorder="1" applyAlignment="1">
      <alignment horizontal="center"/>
    </xf>
    <xf numFmtId="0" fontId="93" fillId="20" borderId="8" xfId="0" applyFont="1" applyFill="1" applyBorder="1" applyAlignment="1">
      <alignment horizontal="center"/>
    </xf>
    <xf numFmtId="0" fontId="93" fillId="20" borderId="9" xfId="0" applyFont="1" applyFill="1" applyBorder="1" applyAlignment="1">
      <alignment horizontal="center"/>
    </xf>
    <xf numFmtId="0" fontId="26" fillId="0" borderId="0" xfId="0" applyFont="1" applyAlignment="1">
      <alignment vertical="top" wrapText="1"/>
    </xf>
    <xf numFmtId="0" fontId="0" fillId="0" borderId="0" xfId="0" applyAlignment="1">
      <alignment wrapText="1"/>
    </xf>
    <xf numFmtId="0" fontId="29" fillId="4" borderId="62" xfId="0" applyFont="1" applyFill="1" applyBorder="1" applyAlignment="1">
      <alignment horizontal="center"/>
    </xf>
    <xf numFmtId="0" fontId="32" fillId="0" borderId="42" xfId="0" applyFont="1" applyBorder="1" applyAlignment="1"/>
    <xf numFmtId="0" fontId="31" fillId="4" borderId="42" xfId="0" applyFont="1" applyFill="1" applyBorder="1" applyAlignment="1">
      <alignment horizontal="center"/>
    </xf>
    <xf numFmtId="0" fontId="31" fillId="4" borderId="73" xfId="0" applyFont="1" applyFill="1" applyBorder="1" applyAlignment="1">
      <alignment horizontal="center"/>
    </xf>
    <xf numFmtId="0" fontId="29" fillId="4" borderId="7" xfId="0" applyFont="1" applyFill="1" applyBorder="1" applyAlignment="1">
      <alignment horizontal="center"/>
    </xf>
    <xf numFmtId="0" fontId="31" fillId="4" borderId="8" xfId="0" applyFont="1" applyFill="1" applyBorder="1" applyAlignment="1"/>
    <xf numFmtId="0" fontId="31" fillId="4" borderId="15" xfId="0" applyFont="1" applyFill="1" applyBorder="1" applyAlignment="1"/>
    <xf numFmtId="0" fontId="32" fillId="0" borderId="73" xfId="0" applyFont="1" applyBorder="1" applyAlignment="1"/>
    <xf numFmtId="0" fontId="29" fillId="4" borderId="62"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73" xfId="0" applyFont="1" applyFill="1" applyBorder="1" applyAlignment="1">
      <alignment horizontal="center" vertical="center" wrapText="1"/>
    </xf>
    <xf numFmtId="0" fontId="0" fillId="0" borderId="0" xfId="0" applyFill="1" applyBorder="1" applyAlignment="1">
      <alignment vertical="top" wrapText="1"/>
    </xf>
    <xf numFmtId="0" fontId="16" fillId="0" borderId="8" xfId="0" applyFont="1" applyBorder="1" applyAlignment="1">
      <alignment horizontal="center"/>
    </xf>
    <xf numFmtId="0" fontId="16" fillId="0" borderId="9" xfId="0" applyFont="1" applyBorder="1" applyAlignment="1">
      <alignment horizontal="center"/>
    </xf>
    <xf numFmtId="0" fontId="56" fillId="0" borderId="62" xfId="0" applyFont="1" applyBorder="1" applyAlignment="1">
      <alignment horizontal="center"/>
    </xf>
    <xf numFmtId="0" fontId="56" fillId="0" borderId="42" xfId="0" applyFont="1" applyBorder="1" applyAlignment="1">
      <alignment horizontal="center"/>
    </xf>
    <xf numFmtId="0" fontId="56" fillId="0" borderId="73" xfId="0" applyFont="1" applyBorder="1" applyAlignment="1">
      <alignment horizontal="center"/>
    </xf>
    <xf numFmtId="4" fontId="41" fillId="0" borderId="0" xfId="0" applyNumberFormat="1" applyFont="1" applyAlignment="1">
      <alignment wrapText="1"/>
    </xf>
    <xf numFmtId="0" fontId="41" fillId="0" borderId="0" xfId="0" applyFont="1" applyAlignment="1">
      <alignment wrapText="1"/>
    </xf>
    <xf numFmtId="0" fontId="15" fillId="0" borderId="55" xfId="0" applyFont="1" applyBorder="1" applyAlignment="1">
      <alignment wrapText="1"/>
    </xf>
    <xf numFmtId="0" fontId="0" fillId="0" borderId="0" xfId="0" applyBorder="1" applyAlignment="1">
      <alignment wrapText="1"/>
    </xf>
    <xf numFmtId="0" fontId="0" fillId="0" borderId="3" xfId="0" applyBorder="1" applyAlignment="1">
      <alignment wrapText="1"/>
    </xf>
    <xf numFmtId="0" fontId="0" fillId="0" borderId="50" xfId="0" applyBorder="1" applyAlignment="1">
      <alignment wrapText="1"/>
    </xf>
    <xf numFmtId="0" fontId="0" fillId="0" borderId="5" xfId="0" applyBorder="1" applyAlignment="1">
      <alignment wrapText="1"/>
    </xf>
    <xf numFmtId="0" fontId="0" fillId="0" borderId="52" xfId="0" applyBorder="1" applyAlignment="1">
      <alignment wrapText="1"/>
    </xf>
    <xf numFmtId="0" fontId="0" fillId="0" borderId="55" xfId="0" applyFill="1" applyBorder="1" applyAlignment="1">
      <alignment wrapText="1"/>
    </xf>
    <xf numFmtId="0" fontId="0" fillId="0" borderId="25" xfId="0" applyBorder="1" applyAlignment="1">
      <alignment wrapText="1"/>
    </xf>
    <xf numFmtId="0" fontId="41" fillId="0" borderId="0" xfId="0" applyFont="1" applyFill="1" applyBorder="1" applyAlignment="1">
      <alignment horizontal="center"/>
    </xf>
    <xf numFmtId="4" fontId="41" fillId="0" borderId="0" xfId="0" applyNumberFormat="1" applyFont="1" applyFill="1" applyBorder="1" applyAlignment="1">
      <alignment horizontal="center" wrapText="1"/>
    </xf>
    <xf numFmtId="10" fontId="41" fillId="0" borderId="0" xfId="4" applyNumberFormat="1" applyFont="1" applyFill="1" applyBorder="1" applyAlignment="1">
      <alignment horizontal="center" wrapText="1"/>
    </xf>
    <xf numFmtId="0" fontId="14" fillId="0" borderId="2" xfId="0" applyFont="1" applyBorder="1" applyAlignment="1">
      <alignment horizontal="center"/>
    </xf>
    <xf numFmtId="0" fontId="0" fillId="0" borderId="2" xfId="0" applyBorder="1" applyAlignment="1"/>
    <xf numFmtId="0" fontId="25" fillId="4" borderId="68" xfId="0" applyFont="1" applyFill="1" applyBorder="1" applyAlignment="1">
      <alignment horizontal="center"/>
    </xf>
    <xf numFmtId="0" fontId="25" fillId="4" borderId="45" xfId="0" applyFont="1" applyFill="1" applyBorder="1" applyAlignment="1">
      <alignment horizontal="center"/>
    </xf>
    <xf numFmtId="0" fontId="25" fillId="4" borderId="45" xfId="0" applyFont="1" applyFill="1" applyBorder="1" applyAlignment="1"/>
    <xf numFmtId="0" fontId="0" fillId="0" borderId="46" xfId="0" applyBorder="1" applyAlignment="1"/>
    <xf numFmtId="0" fontId="25" fillId="4" borderId="13" xfId="0" applyFont="1" applyFill="1" applyBorder="1" applyAlignment="1">
      <alignment horizontal="center"/>
    </xf>
    <xf numFmtId="0" fontId="25" fillId="4" borderId="10" xfId="0" applyFont="1" applyFill="1" applyBorder="1" applyAlignment="1">
      <alignment horizontal="center"/>
    </xf>
    <xf numFmtId="0" fontId="25" fillId="4" borderId="70" xfId="0" applyFont="1" applyFill="1" applyBorder="1" applyAlignment="1">
      <alignment horizontal="center"/>
    </xf>
    <xf numFmtId="0" fontId="25" fillId="4" borderId="8" xfId="0" applyFont="1" applyFill="1" applyBorder="1" applyAlignment="1">
      <alignment horizontal="center"/>
    </xf>
    <xf numFmtId="0" fontId="25" fillId="4" borderId="9" xfId="0" applyFont="1" applyFill="1" applyBorder="1" applyAlignment="1">
      <alignment horizontal="center"/>
    </xf>
    <xf numFmtId="0" fontId="25" fillId="4" borderId="40" xfId="0" applyFont="1" applyFill="1" applyBorder="1" applyAlignment="1">
      <alignment horizontal="center"/>
    </xf>
    <xf numFmtId="0" fontId="25" fillId="4" borderId="1" xfId="0" applyFont="1" applyFill="1" applyBorder="1" applyAlignment="1">
      <alignment horizontal="center"/>
    </xf>
    <xf numFmtId="0" fontId="25" fillId="8" borderId="69" xfId="0" applyFont="1" applyFill="1" applyBorder="1" applyAlignment="1">
      <alignment horizontal="center" vertical="center" wrapText="1"/>
    </xf>
    <xf numFmtId="0" fontId="25" fillId="8" borderId="31" xfId="0" applyFont="1" applyFill="1" applyBorder="1" applyAlignment="1">
      <alignment vertical="center" wrapText="1"/>
    </xf>
    <xf numFmtId="0" fontId="25" fillId="8" borderId="23" xfId="0" applyFont="1" applyFill="1" applyBorder="1" applyAlignment="1">
      <alignment vertical="center" wrapText="1"/>
    </xf>
    <xf numFmtId="0" fontId="25" fillId="8" borderId="62" xfId="0" applyFont="1" applyFill="1" applyBorder="1" applyAlignment="1">
      <alignment horizontal="left" vertical="center"/>
    </xf>
    <xf numFmtId="0" fontId="25" fillId="8" borderId="30" xfId="0" applyFont="1" applyFill="1" applyBorder="1" applyAlignment="1">
      <alignment vertical="center"/>
    </xf>
    <xf numFmtId="0" fontId="25" fillId="8" borderId="42" xfId="0" applyFont="1" applyFill="1" applyBorder="1" applyAlignment="1">
      <alignment horizontal="center" vertical="center"/>
    </xf>
    <xf numFmtId="0" fontId="25" fillId="8" borderId="65" xfId="0" applyFont="1" applyFill="1" applyBorder="1" applyAlignment="1">
      <alignment vertic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wrapText="1"/>
    </xf>
    <xf numFmtId="0" fontId="25" fillId="8" borderId="29" xfId="0" applyFont="1" applyFill="1" applyBorder="1" applyAlignment="1">
      <alignment horizontal="center" vertical="center"/>
    </xf>
    <xf numFmtId="0" fontId="25" fillId="8" borderId="63" xfId="0" applyFont="1" applyFill="1" applyBorder="1" applyAlignment="1">
      <alignment vertical="center"/>
    </xf>
    <xf numFmtId="0" fontId="25" fillId="8" borderId="62" xfId="0" applyFont="1" applyFill="1" applyBorder="1" applyAlignment="1">
      <alignment horizontal="center"/>
    </xf>
    <xf numFmtId="0" fontId="0" fillId="0" borderId="42" xfId="0" applyBorder="1" applyAlignment="1">
      <alignment horizontal="center"/>
    </xf>
    <xf numFmtId="0" fontId="0" fillId="0" borderId="39" xfId="0" applyBorder="1" applyAlignment="1">
      <alignment horizontal="center"/>
    </xf>
    <xf numFmtId="0" fontId="69" fillId="20" borderId="36" xfId="5" applyFont="1" applyFill="1" applyBorder="1" applyAlignment="1">
      <alignment horizontal="center"/>
    </xf>
    <xf numFmtId="0" fontId="69" fillId="20" borderId="38" xfId="5" applyFont="1" applyFill="1" applyBorder="1" applyAlignment="1">
      <alignment horizontal="center"/>
    </xf>
    <xf numFmtId="0" fontId="69" fillId="20" borderId="39" xfId="5" applyFont="1" applyFill="1" applyBorder="1" applyAlignment="1">
      <alignment horizontal="center"/>
    </xf>
    <xf numFmtId="0" fontId="69" fillId="20" borderId="62" xfId="5" applyFont="1" applyFill="1" applyBorder="1" applyAlignment="1">
      <alignment horizontal="center"/>
    </xf>
    <xf numFmtId="0" fontId="69" fillId="20" borderId="42" xfId="5" applyFont="1" applyFill="1" applyBorder="1" applyAlignment="1">
      <alignment horizontal="center"/>
    </xf>
    <xf numFmtId="0" fontId="69" fillId="20" borderId="7" xfId="5" applyFont="1" applyFill="1" applyBorder="1" applyAlignment="1">
      <alignment horizontal="center"/>
    </xf>
    <xf numFmtId="0" fontId="69" fillId="20" borderId="8" xfId="5" applyFont="1" applyFill="1" applyBorder="1" applyAlignment="1">
      <alignment horizontal="center"/>
    </xf>
    <xf numFmtId="0" fontId="69" fillId="20" borderId="9" xfId="5" applyFont="1" applyFill="1" applyBorder="1" applyAlignment="1">
      <alignment horizontal="center"/>
    </xf>
    <xf numFmtId="1" fontId="33" fillId="0" borderId="0" xfId="5" applyNumberFormat="1" applyFont="1" applyFill="1" applyBorder="1" applyAlignment="1">
      <alignment horizontal="left"/>
    </xf>
    <xf numFmtId="1" fontId="75" fillId="0" borderId="0" xfId="5" applyNumberFormat="1" applyFont="1" applyFill="1" applyBorder="1" applyAlignment="1">
      <alignment horizontal="left"/>
    </xf>
    <xf numFmtId="1" fontId="33" fillId="0" borderId="0" xfId="5" applyNumberFormat="1" applyFont="1" applyFill="1" applyBorder="1" applyAlignment="1">
      <alignment horizontal="left" vertical="top" wrapText="1"/>
    </xf>
    <xf numFmtId="0" fontId="69" fillId="20" borderId="1" xfId="5" applyFont="1" applyFill="1" applyBorder="1" applyAlignment="1">
      <alignment horizontal="center"/>
    </xf>
    <xf numFmtId="0" fontId="90" fillId="0" borderId="0" xfId="5" applyFont="1" applyAlignment="1">
      <alignment horizontal="left"/>
    </xf>
    <xf numFmtId="1" fontId="33" fillId="0" borderId="4" xfId="5" applyNumberFormat="1" applyFont="1" applyFill="1" applyBorder="1" applyAlignment="1">
      <alignment horizontal="left" vertical="top" wrapText="1"/>
    </xf>
    <xf numFmtId="1" fontId="33" fillId="0" borderId="50" xfId="5" applyNumberFormat="1" applyFont="1" applyFill="1" applyBorder="1" applyAlignment="1">
      <alignment horizontal="left"/>
    </xf>
    <xf numFmtId="1" fontId="33" fillId="0" borderId="5" xfId="5" applyNumberFormat="1" applyFont="1" applyFill="1" applyBorder="1" applyAlignment="1">
      <alignment horizontal="left"/>
    </xf>
    <xf numFmtId="0" fontId="70" fillId="13" borderId="1" xfId="0" applyFont="1" applyFill="1" applyBorder="1" applyAlignment="1">
      <alignment horizontal="center"/>
    </xf>
    <xf numFmtId="0" fontId="54" fillId="9" borderId="16" xfId="0" applyFont="1" applyFill="1" applyBorder="1" applyAlignment="1">
      <alignment horizontal="center"/>
    </xf>
    <xf numFmtId="0" fontId="54" fillId="9" borderId="18" xfId="0" applyFont="1" applyFill="1" applyBorder="1" applyAlignment="1">
      <alignment horizontal="center"/>
    </xf>
    <xf numFmtId="0" fontId="53" fillId="0" borderId="40" xfId="0" applyFont="1" applyBorder="1" applyAlignment="1">
      <alignment horizontal="center"/>
    </xf>
    <xf numFmtId="0" fontId="54" fillId="9" borderId="1" xfId="0" applyFont="1" applyFill="1" applyBorder="1" applyAlignment="1">
      <alignment horizontal="center"/>
    </xf>
    <xf numFmtId="0" fontId="53" fillId="0" borderId="1" xfId="0" applyFont="1" applyBorder="1" applyAlignment="1">
      <alignment horizontal="center"/>
    </xf>
    <xf numFmtId="0" fontId="0" fillId="2" borderId="25" xfId="0" applyFill="1" applyBorder="1" applyAlignment="1">
      <alignment horizontal="center" wrapText="1"/>
    </xf>
    <xf numFmtId="0" fontId="0" fillId="0" borderId="66" xfId="0" applyBorder="1" applyAlignment="1">
      <alignment horizontal="center" wrapText="1"/>
    </xf>
    <xf numFmtId="0" fontId="0" fillId="0" borderId="66" xfId="0" applyBorder="1" applyAlignment="1">
      <alignment wrapText="1"/>
    </xf>
    <xf numFmtId="0" fontId="16" fillId="7" borderId="6" xfId="0" applyFont="1" applyFill="1" applyBorder="1" applyAlignment="1">
      <alignment horizontal="center" vertical="center"/>
    </xf>
    <xf numFmtId="0" fontId="16" fillId="7" borderId="64" xfId="0" applyFont="1" applyFill="1" applyBorder="1" applyAlignment="1">
      <alignment horizontal="center" vertical="center"/>
    </xf>
    <xf numFmtId="0" fontId="0" fillId="7" borderId="64" xfId="0" applyFill="1" applyBorder="1" applyAlignment="1">
      <alignment horizontal="center" vertical="center"/>
    </xf>
    <xf numFmtId="0" fontId="0" fillId="7" borderId="64" xfId="0" applyFill="1" applyBorder="1" applyAlignment="1"/>
    <xf numFmtId="0" fontId="0" fillId="0" borderId="64" xfId="0" applyBorder="1" applyAlignment="1"/>
    <xf numFmtId="0" fontId="0" fillId="0" borderId="47" xfId="0" applyBorder="1" applyAlignment="1"/>
    <xf numFmtId="0" fontId="16" fillId="7" borderId="6" xfId="0" applyFont="1" applyFill="1" applyBorder="1" applyAlignment="1">
      <alignment horizontal="center" vertical="center" wrapText="1"/>
    </xf>
    <xf numFmtId="0" fontId="0" fillId="7" borderId="64" xfId="0" applyFill="1" applyBorder="1" applyAlignment="1">
      <alignment horizontal="center" vertical="center" wrapText="1"/>
    </xf>
    <xf numFmtId="0" fontId="0" fillId="7" borderId="47" xfId="0" applyFill="1" applyBorder="1" applyAlignment="1">
      <alignment horizontal="center" vertical="center" wrapText="1"/>
    </xf>
    <xf numFmtId="0" fontId="0" fillId="0" borderId="25" xfId="0" applyBorder="1" applyAlignment="1">
      <alignment horizontal="center" wrapText="1"/>
    </xf>
    <xf numFmtId="0" fontId="0" fillId="0" borderId="18" xfId="0" applyBorder="1" applyAlignment="1">
      <alignment horizontal="center" wrapText="1"/>
    </xf>
    <xf numFmtId="0" fontId="12" fillId="25" borderId="68" xfId="6" applyFill="1" applyBorder="1" applyAlignment="1">
      <alignment horizontal="center"/>
    </xf>
    <xf numFmtId="0" fontId="0" fillId="0" borderId="45" xfId="0" applyBorder="1" applyAlignment="1"/>
    <xf numFmtId="0" fontId="97" fillId="24" borderId="1" xfId="6" applyFont="1" applyFill="1" applyBorder="1" applyAlignment="1">
      <alignment horizontal="center" wrapText="1"/>
    </xf>
    <xf numFmtId="0" fontId="97" fillId="24" borderId="16" xfId="6" applyFont="1" applyFill="1" applyBorder="1" applyAlignment="1">
      <alignment horizontal="center" wrapText="1"/>
    </xf>
    <xf numFmtId="0" fontId="97" fillId="24" borderId="18" xfId="6" applyFont="1" applyFill="1" applyBorder="1" applyAlignment="1">
      <alignment horizontal="center" wrapText="1"/>
    </xf>
    <xf numFmtId="0" fontId="97" fillId="24" borderId="40" xfId="6" applyFont="1" applyFill="1" applyBorder="1" applyAlignment="1">
      <alignment horizontal="center" wrapText="1"/>
    </xf>
    <xf numFmtId="0" fontId="12" fillId="26" borderId="68" xfId="6" applyFill="1" applyBorder="1" applyAlignment="1">
      <alignment horizontal="center" vertical="center"/>
    </xf>
    <xf numFmtId="0" fontId="0" fillId="26" borderId="45" xfId="0" applyFill="1" applyBorder="1" applyAlignment="1">
      <alignment vertical="center"/>
    </xf>
    <xf numFmtId="0" fontId="0" fillId="26" borderId="46" xfId="0" applyFill="1" applyBorder="1" applyAlignment="1">
      <alignment vertical="center"/>
    </xf>
    <xf numFmtId="0" fontId="97" fillId="24" borderId="5" xfId="6" applyFont="1" applyFill="1" applyBorder="1" applyAlignment="1">
      <alignment horizontal="center" wrapText="1"/>
    </xf>
    <xf numFmtId="0" fontId="0" fillId="0" borderId="5" xfId="0" applyBorder="1" applyAlignment="1"/>
    <xf numFmtId="0" fontId="0" fillId="0" borderId="52" xfId="0" applyBorder="1" applyAlignment="1"/>
    <xf numFmtId="0" fontId="97" fillId="24" borderId="1" xfId="6" applyFont="1" applyFill="1" applyBorder="1" applyAlignment="1">
      <alignment horizontal="center" vertical="center"/>
    </xf>
    <xf numFmtId="0" fontId="97" fillId="24" borderId="1" xfId="6" applyFont="1" applyFill="1" applyBorder="1" applyAlignment="1">
      <alignment horizontal="center" vertical="center" wrapText="1"/>
    </xf>
    <xf numFmtId="0" fontId="12" fillId="11" borderId="62" xfId="6" applyFill="1" applyBorder="1" applyAlignment="1">
      <alignment horizontal="center" wrapText="1"/>
    </xf>
    <xf numFmtId="0" fontId="12" fillId="11" borderId="42" xfId="6" applyFill="1" applyBorder="1" applyAlignment="1">
      <alignment horizontal="center" wrapText="1"/>
    </xf>
    <xf numFmtId="0" fontId="12" fillId="11" borderId="73" xfId="6" applyFill="1" applyBorder="1" applyAlignment="1">
      <alignment horizontal="center" wrapText="1"/>
    </xf>
    <xf numFmtId="0" fontId="69" fillId="24" borderId="1" xfId="0" applyFont="1" applyFill="1" applyBorder="1" applyAlignment="1">
      <alignment horizontal="center"/>
    </xf>
    <xf numFmtId="0" fontId="32" fillId="0" borderId="0" xfId="0" applyFont="1" applyAlignment="1">
      <alignment horizontal="center"/>
    </xf>
    <xf numFmtId="0" fontId="0" fillId="0" borderId="0" xfId="0" applyAlignment="1">
      <alignment horizontal="center"/>
    </xf>
    <xf numFmtId="0" fontId="128" fillId="24" borderId="16" xfId="0" applyFont="1" applyFill="1" applyBorder="1" applyAlignment="1">
      <alignment horizontal="center" wrapText="1"/>
    </xf>
    <xf numFmtId="0" fontId="14" fillId="24" borderId="18" xfId="0" applyFont="1" applyFill="1" applyBorder="1" applyAlignment="1">
      <alignment horizontal="center" wrapText="1"/>
    </xf>
    <xf numFmtId="0" fontId="14" fillId="24" borderId="40" xfId="0" applyFont="1" applyFill="1" applyBorder="1" applyAlignment="1">
      <alignment horizontal="center" wrapText="1"/>
    </xf>
    <xf numFmtId="0" fontId="20" fillId="12" borderId="0" xfId="3" applyFont="1" applyFill="1" applyBorder="1" applyAlignment="1"/>
    <xf numFmtId="4" fontId="20" fillId="12" borderId="0" xfId="3" applyNumberFormat="1" applyFont="1" applyFill="1" applyBorder="1" applyAlignment="1">
      <alignment horizontal="right"/>
    </xf>
    <xf numFmtId="0" fontId="0" fillId="12" borderId="1" xfId="0" applyFill="1" applyBorder="1"/>
    <xf numFmtId="4" fontId="0" fillId="12" borderId="0" xfId="1" applyNumberFormat="1" applyFont="1" applyFill="1" applyBorder="1"/>
    <xf numFmtId="0" fontId="20" fillId="12" borderId="1" xfId="3" applyFont="1" applyFill="1" applyBorder="1" applyAlignment="1"/>
    <xf numFmtId="4" fontId="0" fillId="12" borderId="1" xfId="1" applyNumberFormat="1" applyFont="1" applyFill="1" applyBorder="1"/>
    <xf numFmtId="0" fontId="0" fillId="12" borderId="50" xfId="0" applyFill="1" applyBorder="1"/>
  </cellXfs>
  <cellStyles count="8">
    <cellStyle name="Comma" xfId="1" builtinId="3"/>
    <cellStyle name="Hyperlink" xfId="2" builtinId="8"/>
    <cellStyle name="Normal" xfId="0" builtinId="0"/>
    <cellStyle name="Normal 2" xfId="5"/>
    <cellStyle name="Normal 3" xfId="6"/>
    <cellStyle name="Normal 4" xfId="7"/>
    <cellStyle name="Normal_Sheet1" xfId="3"/>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99"/>
      <color rgb="FFFFFF66"/>
      <color rgb="FF00FF00"/>
      <color rgb="FFFFFFCC"/>
      <color rgb="FF00CC00"/>
      <color rgb="FF009900"/>
      <color rgb="FFFFCC99"/>
      <color rgb="FF3366FF"/>
      <color rgb="FF3333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6350">
              <a:solidFill>
                <a:sysClr val="windowText" lastClr="000000"/>
              </a:solidFill>
            </a:ln>
          </c:spPr>
          <c:dPt>
            <c:idx val="0"/>
            <c:bubble3D val="0"/>
            <c:spPr>
              <a:solidFill>
                <a:srgbClr val="003399"/>
              </a:solidFill>
              <a:ln w="6350">
                <a:solidFill>
                  <a:sysClr val="windowText" lastClr="000000"/>
                </a:solidFill>
              </a:ln>
            </c:spPr>
          </c:dPt>
          <c:dPt>
            <c:idx val="1"/>
            <c:bubble3D val="0"/>
            <c:spPr>
              <a:solidFill>
                <a:srgbClr val="993300"/>
              </a:solidFill>
              <a:ln w="6350">
                <a:solidFill>
                  <a:sysClr val="windowText" lastClr="000000"/>
                </a:solidFill>
              </a:ln>
            </c:spPr>
          </c:dPt>
          <c:dPt>
            <c:idx val="2"/>
            <c:bubble3D val="0"/>
            <c:spPr>
              <a:solidFill>
                <a:srgbClr val="660066"/>
              </a:solidFill>
              <a:ln w="6350">
                <a:solidFill>
                  <a:sysClr val="windowText" lastClr="000000"/>
                </a:solidFill>
              </a:ln>
            </c:spPr>
          </c:dPt>
          <c:dPt>
            <c:idx val="3"/>
            <c:bubble3D val="0"/>
            <c:spPr>
              <a:solidFill>
                <a:srgbClr val="FFFF66"/>
              </a:solidFill>
              <a:ln w="6350">
                <a:solidFill>
                  <a:sysClr val="windowText" lastClr="000000"/>
                </a:solidFill>
              </a:ln>
            </c:spPr>
          </c:dPt>
          <c:dPt>
            <c:idx val="4"/>
            <c:bubble3D val="0"/>
            <c:spPr>
              <a:solidFill>
                <a:srgbClr val="339933"/>
              </a:solidFill>
              <a:ln w="6350">
                <a:solidFill>
                  <a:sysClr val="windowText" lastClr="000000"/>
                </a:solidFill>
              </a:ln>
            </c:spPr>
          </c:dPt>
          <c:dLbls>
            <c:spPr>
              <a:noFill/>
              <a:ln>
                <a:noFill/>
              </a:ln>
              <a:effectLst/>
            </c:spPr>
            <c:dLblPos val="outEnd"/>
            <c:showLegendKey val="0"/>
            <c:showVal val="0"/>
            <c:showCatName val="1"/>
            <c:showSerName val="0"/>
            <c:showPercent val="1"/>
            <c:showBubbleSize val="0"/>
            <c:separator>, </c:separator>
            <c:showLeaderLines val="1"/>
            <c:extLst>
              <c:ext xmlns:c15="http://schemas.microsoft.com/office/drawing/2012/chart" uri="{CE6537A1-D6FC-4f65-9D91-7224C49458BB}">
                <c15:layout/>
              </c:ext>
            </c:extLst>
          </c:dLbls>
          <c:cat>
            <c:strRef>
              <c:f>'Charts &amp; Tables'!$C$31:$G$31</c:f>
              <c:strCache>
                <c:ptCount val="5"/>
                <c:pt idx="0">
                  <c:v>Sugar/Starch</c:v>
                </c:pt>
                <c:pt idx="1">
                  <c:v>Lignocellulosic</c:v>
                </c:pt>
                <c:pt idx="2">
                  <c:v>Bio-oils</c:v>
                </c:pt>
                <c:pt idx="3">
                  <c:v>Solid Waste</c:v>
                </c:pt>
                <c:pt idx="4">
                  <c:v>Other Wastes</c:v>
                </c:pt>
              </c:strCache>
            </c:strRef>
          </c:cat>
          <c:val>
            <c:numRef>
              <c:f>'Charts &amp; Tables'!$C$32:$G$32</c:f>
              <c:numCache>
                <c:formatCode>#,##0</c:formatCode>
                <c:ptCount val="5"/>
                <c:pt idx="0">
                  <c:v>275249.85920000001</c:v>
                </c:pt>
                <c:pt idx="1">
                  <c:v>2124460.7908333335</c:v>
                </c:pt>
                <c:pt idx="2">
                  <c:v>114679.5741295</c:v>
                </c:pt>
                <c:pt idx="3">
                  <c:v>3701663.9746182999</c:v>
                </c:pt>
                <c:pt idx="4">
                  <c:v>852402.89379172691</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6350">
              <a:solidFill>
                <a:sysClr val="windowText" lastClr="000000"/>
              </a:solidFill>
            </a:ln>
          </c:spPr>
          <c:dPt>
            <c:idx val="0"/>
            <c:bubble3D val="0"/>
            <c:spPr>
              <a:solidFill>
                <a:srgbClr val="993300"/>
              </a:solidFill>
              <a:ln w="6350">
                <a:solidFill>
                  <a:sysClr val="windowText" lastClr="000000"/>
                </a:solidFill>
              </a:ln>
            </c:spPr>
          </c:dPt>
          <c:dPt>
            <c:idx val="1"/>
            <c:bubble3D val="0"/>
            <c:spPr>
              <a:solidFill>
                <a:srgbClr val="660066"/>
              </a:solidFill>
              <a:ln w="6350">
                <a:solidFill>
                  <a:sysClr val="windowText" lastClr="000000"/>
                </a:solidFill>
              </a:ln>
            </c:spPr>
          </c:dPt>
          <c:dPt>
            <c:idx val="2"/>
            <c:bubble3D val="0"/>
            <c:spPr>
              <a:solidFill>
                <a:srgbClr val="FFFF66"/>
              </a:solidFill>
              <a:ln w="6350">
                <a:solidFill>
                  <a:sysClr val="windowText" lastClr="000000"/>
                </a:solidFill>
              </a:ln>
            </c:spPr>
          </c:dPt>
          <c:dPt>
            <c:idx val="3"/>
            <c:bubble3D val="0"/>
            <c:spPr>
              <a:solidFill>
                <a:srgbClr val="339933"/>
              </a:solidFill>
              <a:ln w="6350">
                <a:solidFill>
                  <a:sysClr val="windowText" lastClr="000000"/>
                </a:solidFill>
              </a:ln>
            </c:spPr>
          </c:dPt>
          <c:dLbls>
            <c:dLbl>
              <c:idx val="0"/>
              <c:layout>
                <c:manualLayout>
                  <c:x val="-6.6641283217944408E-2"/>
                  <c:y val="2.19849157167662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2472178682556705E-2"/>
                  <c:y val="4.8356647262312223E-2"/>
                </c:manualLayout>
              </c:layout>
              <c:tx>
                <c:rich>
                  <a:bodyPr/>
                  <a:lstStyle/>
                  <a:p>
                    <a:r>
                      <a:rPr lang="en-US"/>
                      <a:t>Fats and</a:t>
                    </a:r>
                    <a:r>
                      <a:rPr lang="en-US" baseline="0"/>
                      <a:t> Oils</a:t>
                    </a:r>
                    <a:r>
                      <a:rPr lang="en-US"/>
                      <a:t>
1%</a:t>
                    </a:r>
                  </a:p>
                </c:rich>
              </c:tx>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0504192844562447"/>
                  <c:y val="-4.83473980309423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2059882758076809E-2"/>
                  <c:y val="3.51617440225035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'Charts &amp; Tables'!$J$31:$M$31</c:f>
              <c:strCache>
                <c:ptCount val="4"/>
                <c:pt idx="0">
                  <c:v>Lignocellulosic</c:v>
                </c:pt>
                <c:pt idx="1">
                  <c:v>Bio-oils</c:v>
                </c:pt>
                <c:pt idx="2">
                  <c:v>Solid Waste</c:v>
                </c:pt>
                <c:pt idx="3">
                  <c:v>Other Wastes</c:v>
                </c:pt>
              </c:strCache>
            </c:strRef>
          </c:cat>
          <c:val>
            <c:numRef>
              <c:f>'Charts &amp; Tables'!$J$32:$M$32</c:f>
              <c:numCache>
                <c:formatCode>#,##0</c:formatCode>
                <c:ptCount val="4"/>
                <c:pt idx="0">
                  <c:v>714553.05833333358</c:v>
                </c:pt>
                <c:pt idx="1">
                  <c:v>35820.374129500007</c:v>
                </c:pt>
                <c:pt idx="2">
                  <c:v>3701663.9746182999</c:v>
                </c:pt>
                <c:pt idx="3">
                  <c:v>644779.75444797694</c:v>
                </c:pt>
              </c:numCache>
            </c:numRef>
          </c:val>
        </c:ser>
        <c:dLbls>
          <c:showLegendKey val="0"/>
          <c:showVal val="1"/>
          <c:showCatName val="0"/>
          <c:showSerName val="0"/>
          <c:showPercent val="0"/>
          <c:showBubbleSize val="0"/>
          <c:showLeaderLines val="0"/>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6350">
              <a:solidFill>
                <a:schemeClr val="tx1"/>
              </a:solidFill>
            </a:ln>
          </c:spPr>
          <c:dPt>
            <c:idx val="0"/>
            <c:bubble3D val="0"/>
            <c:spPr>
              <a:solidFill>
                <a:schemeClr val="tx2">
                  <a:lumMod val="60000"/>
                  <a:lumOff val="40000"/>
                </a:schemeClr>
              </a:solidFill>
              <a:ln w="6350">
                <a:solidFill>
                  <a:schemeClr val="tx1"/>
                </a:solidFill>
              </a:ln>
            </c:spPr>
          </c:dPt>
          <c:dPt>
            <c:idx val="1"/>
            <c:bubble3D val="0"/>
            <c:spPr>
              <a:solidFill>
                <a:schemeClr val="accent6">
                  <a:lumMod val="50000"/>
                </a:schemeClr>
              </a:solidFill>
              <a:ln w="6350">
                <a:solidFill>
                  <a:schemeClr val="tx1"/>
                </a:solidFill>
              </a:ln>
            </c:spPr>
          </c:dPt>
          <c:dLbls>
            <c:dLbl>
              <c:idx val="0"/>
              <c:layout>
                <c:manualLayout>
                  <c:x val="-3.3333333333333333E-2"/>
                  <c:y val="-0.115340617024948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8888888888888892E-2"/>
                  <c:y val="-7.84313725490195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666666666666666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spPr>
              <a:noFill/>
              <a:ln>
                <a:noFill/>
              </a:ln>
              <a:effectLst/>
            </c:sp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'Charts &amp; Tables'!$Q$14:$S$14</c:f>
              <c:strCache>
                <c:ptCount val="3"/>
                <c:pt idx="0">
                  <c:v>Materials Currently Recycled</c:v>
                </c:pt>
                <c:pt idx="1">
                  <c:v>Materials Currently Landfilled or Incinerated</c:v>
                </c:pt>
                <c:pt idx="2">
                  <c:v>C &amp; D Wood</c:v>
                </c:pt>
              </c:strCache>
            </c:strRef>
          </c:cat>
          <c:val>
            <c:numRef>
              <c:f>'Charts &amp; Tables'!$Q$15:$S$15</c:f>
              <c:numCache>
                <c:formatCode>#,##0</c:formatCode>
                <c:ptCount val="3"/>
                <c:pt idx="0">
                  <c:v>1524999.3030000003</c:v>
                </c:pt>
                <c:pt idx="1">
                  <c:v>1593668.8508182997</c:v>
                </c:pt>
                <c:pt idx="2">
                  <c:v>582995.8208000001</c:v>
                </c:pt>
              </c:numCache>
            </c:numRef>
          </c:val>
        </c:ser>
        <c:dLbls>
          <c:showLegendKey val="0"/>
          <c:showVal val="1"/>
          <c:showCatName val="0"/>
          <c:showSerName val="0"/>
          <c:showPercent val="0"/>
          <c:showBubbleSize val="0"/>
          <c:showLeaderLines val="0"/>
        </c:dLbls>
        <c:firstSliceAng val="0"/>
      </c:pie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ln w="6350">
              <a:solidFill>
                <a:sysClr val="windowText" lastClr="000000"/>
              </a:solidFill>
            </a:ln>
          </c:spPr>
          <c:dPt>
            <c:idx val="0"/>
            <c:bubble3D val="0"/>
            <c:spPr>
              <a:solidFill>
                <a:srgbClr val="003399"/>
              </a:solidFill>
              <a:ln w="6350">
                <a:solidFill>
                  <a:sysClr val="windowText" lastClr="000000"/>
                </a:solidFill>
              </a:ln>
            </c:spPr>
          </c:dPt>
          <c:dPt>
            <c:idx val="1"/>
            <c:bubble3D val="0"/>
            <c:spPr>
              <a:solidFill>
                <a:srgbClr val="993300"/>
              </a:solidFill>
              <a:ln w="6350">
                <a:solidFill>
                  <a:sysClr val="windowText" lastClr="000000"/>
                </a:solidFill>
              </a:ln>
            </c:spPr>
          </c:dPt>
          <c:dPt>
            <c:idx val="2"/>
            <c:bubble3D val="0"/>
            <c:spPr>
              <a:solidFill>
                <a:srgbClr val="660066"/>
              </a:solidFill>
              <a:ln w="6350">
                <a:solidFill>
                  <a:sysClr val="windowText" lastClr="000000"/>
                </a:solidFill>
              </a:ln>
            </c:spPr>
          </c:dPt>
          <c:dPt>
            <c:idx val="3"/>
            <c:bubble3D val="0"/>
            <c:spPr>
              <a:solidFill>
                <a:srgbClr val="FFFF66"/>
              </a:solidFill>
              <a:ln w="6350">
                <a:solidFill>
                  <a:sysClr val="windowText" lastClr="000000"/>
                </a:solidFill>
              </a:ln>
            </c:spPr>
          </c:dPt>
          <c:dPt>
            <c:idx val="4"/>
            <c:bubble3D val="0"/>
            <c:spPr>
              <a:solidFill>
                <a:srgbClr val="339933"/>
              </a:solidFill>
              <a:ln w="6350">
                <a:solidFill>
                  <a:sysClr val="windowText" lastClr="000000"/>
                </a:solidFill>
              </a:ln>
            </c:spPr>
          </c:dPt>
          <c:dLbls>
            <c:dLbl>
              <c:idx val="0"/>
              <c:layout>
                <c:manualLayout>
                  <c:x val="3.5210414329230217E-6"/>
                  <c:y val="1.3179573943463432E-2"/>
                </c:manualLayout>
              </c:layout>
              <c:tx>
                <c:rich>
                  <a:bodyPr/>
                  <a:lstStyle/>
                  <a:p>
                    <a:r>
                      <a:rPr lang="en-US"/>
                      <a:t>Sugar/Starch </a:t>
                    </a:r>
                  </a:p>
                  <a:p>
                    <a:r>
                      <a:rPr lang="en-US"/>
                      <a:t>4%</a:t>
                    </a:r>
                  </a:p>
                </c:rich>
              </c:tx>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1"/>
              <c:layout>
                <c:manualLayout>
                  <c:x val="-8.6789528919866687E-2"/>
                  <c:y val="-0.10982978286219526"/>
                </c:manualLayout>
              </c:layout>
              <c:tx>
                <c:rich>
                  <a:bodyPr/>
                  <a:lstStyle/>
                  <a:p>
                    <a:r>
                      <a:rPr lang="en-US"/>
                      <a:t>Lignocellulosic 29%</a:t>
                    </a:r>
                  </a:p>
                </c:rich>
              </c:tx>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2"/>
              <c:layout>
                <c:manualLayout>
                  <c:x val="-2.367382563430008E-2"/>
                  <c:y val="3.5145530515902489E-2"/>
                </c:manualLayout>
              </c:layout>
              <c:tx>
                <c:rich>
                  <a:bodyPr/>
                  <a:lstStyle/>
                  <a:p>
                    <a:r>
                      <a:rPr lang="en-US"/>
                      <a:t>Fats and Oils </a:t>
                    </a:r>
                  </a:p>
                  <a:p>
                    <a:r>
                      <a:rPr lang="en-US"/>
                      <a:t>2%</a:t>
                    </a:r>
                  </a:p>
                </c:rich>
              </c:tx>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3"/>
              <c:layout>
                <c:manualLayout>
                  <c:x val="6.8376068376068383E-2"/>
                  <c:y val="3.2012873780154327E-2"/>
                </c:manualLayout>
              </c:layout>
              <c:tx>
                <c:rich>
                  <a:bodyPr/>
                  <a:lstStyle/>
                  <a:p>
                    <a:r>
                      <a:rPr lang="en-US"/>
                      <a:t>Solid Waste</a:t>
                    </a:r>
                    <a:r>
                      <a:rPr lang="en-US" baseline="0"/>
                      <a:t> </a:t>
                    </a:r>
                  </a:p>
                  <a:p>
                    <a:r>
                      <a:rPr lang="en-US"/>
                      <a:t>54%</a:t>
                    </a:r>
                  </a:p>
                </c:rich>
              </c:tx>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dLbl>
              <c:idx val="4"/>
              <c:layout>
                <c:manualLayout>
                  <c:x val="5.5226824457593686E-2"/>
                  <c:y val="2.1965956572439056E-2"/>
                </c:manualLayout>
              </c:layout>
              <c:tx>
                <c:rich>
                  <a:bodyPr/>
                  <a:lstStyle/>
                  <a:p>
                    <a:r>
                      <a:rPr lang="en-US"/>
                      <a:t>Other Wastes 11%</a:t>
                    </a:r>
                  </a:p>
                </c:rich>
              </c:tx>
              <c:dLblPos val="bestFit"/>
              <c:showLegendKey val="0"/>
              <c:showVal val="0"/>
              <c:showCatName val="1"/>
              <c:showSerName val="0"/>
              <c:showPercent val="1"/>
              <c:showBubbleSize val="0"/>
              <c:separator>, </c:separator>
              <c:extLst>
                <c:ext xmlns:c15="http://schemas.microsoft.com/office/drawing/2012/chart" uri="{CE6537A1-D6FC-4f65-9D91-7224C49458BB}">
                  <c15:layout/>
                </c:ext>
              </c:extLst>
            </c:dLbl>
            <c:spPr>
              <a:noFill/>
              <a:ln>
                <a:noFill/>
              </a:ln>
              <a:effectLst/>
            </c:spPr>
            <c:dLblPos val="outEnd"/>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'Charts &amp; Tables'!$C$31:$G$31</c:f>
              <c:strCache>
                <c:ptCount val="5"/>
                <c:pt idx="0">
                  <c:v>Sugar/Starch</c:v>
                </c:pt>
                <c:pt idx="1">
                  <c:v>Lignocellulosic</c:v>
                </c:pt>
                <c:pt idx="2">
                  <c:v>Bio-oils</c:v>
                </c:pt>
                <c:pt idx="3">
                  <c:v>Solid Waste</c:v>
                </c:pt>
                <c:pt idx="4">
                  <c:v>Other Wastes</c:v>
                </c:pt>
              </c:strCache>
            </c:strRef>
          </c:cat>
          <c:val>
            <c:numRef>
              <c:f>'Charts &amp; Tables'!$C$32:$G$32</c:f>
              <c:numCache>
                <c:formatCode>#,##0</c:formatCode>
                <c:ptCount val="5"/>
                <c:pt idx="0">
                  <c:v>275249.85920000001</c:v>
                </c:pt>
                <c:pt idx="1">
                  <c:v>2124460.7908333335</c:v>
                </c:pt>
                <c:pt idx="2">
                  <c:v>114679.5741295</c:v>
                </c:pt>
                <c:pt idx="3">
                  <c:v>3701663.9746182999</c:v>
                </c:pt>
                <c:pt idx="4">
                  <c:v>852402.89379172691</c:v>
                </c:pt>
              </c:numCache>
            </c:numRef>
          </c:val>
        </c:ser>
        <c:dLbls>
          <c:showLegendKey val="0"/>
          <c:showVal val="1"/>
          <c:showCatName val="0"/>
          <c:showSerName val="0"/>
          <c:showPercent val="0"/>
          <c:showBubbleSize val="0"/>
          <c:showLeaderLines val="0"/>
        </c:dLbls>
        <c:firstSliceAng val="0"/>
      </c:pie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609599</xdr:colOff>
      <xdr:row>32</xdr:row>
      <xdr:rowOff>161925</xdr:rowOff>
    </xdr:from>
    <xdr:to>
      <xdr:col>6</xdr:col>
      <xdr:colOff>590549</xdr:colOff>
      <xdr:row>48</xdr:row>
      <xdr:rowOff>4762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127000</xdr:colOff>
      <xdr:row>32</xdr:row>
      <xdr:rowOff>74084</xdr:rowOff>
    </xdr:from>
    <xdr:to>
      <xdr:col>13</xdr:col>
      <xdr:colOff>494157</xdr:colOff>
      <xdr:row>47</xdr:row>
      <xdr:rowOff>108203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66675</xdr:colOff>
      <xdr:row>15</xdr:row>
      <xdr:rowOff>80962</xdr:rowOff>
    </xdr:from>
    <xdr:to>
      <xdr:col>21</xdr:col>
      <xdr:colOff>276225</xdr:colOff>
      <xdr:row>29</xdr:row>
      <xdr:rowOff>109537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609599</xdr:colOff>
      <xdr:row>33</xdr:row>
      <xdr:rowOff>0</xdr:rowOff>
    </xdr:from>
    <xdr:to>
      <xdr:col>6</xdr:col>
      <xdr:colOff>677333</xdr:colOff>
      <xdr:row>48</xdr:row>
      <xdr:rowOff>14287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rusecure.rutgers.edu/compliance/copr.php" TargetMode="External"/><Relationship Id="rId1" Type="http://schemas.openxmlformats.org/officeDocument/2006/relationships/hyperlink" Target="http://lcweb.loc.gov/copyrigh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hyperlink" Target="http://www.state.nj.us/dep/dwq/sludge.htm" TargetMode="External"/><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nal.usda.gov/fnic/foodcomp/Data/SR17/wtrank/wt_rank.html"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hyperlink" Target="mailto:hayes@aesop.rutgers.edu" TargetMode="External"/><Relationship Id="rId13" Type="http://schemas.openxmlformats.org/officeDocument/2006/relationships/hyperlink" Target="mailto:fennell@envsci.rutgers.edu" TargetMode="External"/><Relationship Id="rId18" Type="http://schemas.openxmlformats.org/officeDocument/2006/relationships/hyperlink" Target="mailto:specca@aesop.rutgers.edu" TargetMode="External"/><Relationship Id="rId26" Type="http://schemas.openxmlformats.org/officeDocument/2006/relationships/hyperlink" Target="mailto:specca@aesop.rutgers.edu" TargetMode="External"/><Relationship Id="rId39" Type="http://schemas.openxmlformats.org/officeDocument/2006/relationships/hyperlink" Target="mailto:Chris.Dour@njmeadowlands.gov" TargetMode="External"/><Relationship Id="rId3" Type="http://schemas.openxmlformats.org/officeDocument/2006/relationships/hyperlink" Target="mailto:puk@crssa.rutgers.edu" TargetMode="External"/><Relationship Id="rId21" Type="http://schemas.openxmlformats.org/officeDocument/2006/relationships/hyperlink" Target="mailto:brennan@aesop.rutgers.edu" TargetMode="External"/><Relationship Id="rId34" Type="http://schemas.openxmlformats.org/officeDocument/2006/relationships/hyperlink" Target="mailto:bcowan343@gmail.com" TargetMode="External"/><Relationship Id="rId7" Type="http://schemas.openxmlformats.org/officeDocument/2006/relationships/hyperlink" Target="mailto:specca@aesop.rutgers.edu" TargetMode="External"/><Relationship Id="rId12" Type="http://schemas.openxmlformats.org/officeDocument/2006/relationships/hyperlink" Target="mailto:westendorf@aesop.rutgers.edu" TargetMode="External"/><Relationship Id="rId17" Type="http://schemas.openxmlformats.org/officeDocument/2006/relationships/hyperlink" Target="mailto:schilling@aesop.rutgers.edu" TargetMode="External"/><Relationship Id="rId25" Type="http://schemas.openxmlformats.org/officeDocument/2006/relationships/hyperlink" Target="mailto:schilling@aesop.rutgers.edu" TargetMode="External"/><Relationship Id="rId33" Type="http://schemas.openxmlformats.org/officeDocument/2006/relationships/hyperlink" Target="mailto:rlesliemcua@comcast.net" TargetMode="External"/><Relationship Id="rId38" Type="http://schemas.openxmlformats.org/officeDocument/2006/relationships/hyperlink" Target="mailto:tvarro@scmua.org" TargetMode="External"/><Relationship Id="rId2" Type="http://schemas.openxmlformats.org/officeDocument/2006/relationships/hyperlink" Target="mailto:dtulloch@crssa.rutgers.edu" TargetMode="External"/><Relationship Id="rId16" Type="http://schemas.openxmlformats.org/officeDocument/2006/relationships/hyperlink" Target="mailto:brennan@aesop.rutgers.edu" TargetMode="External"/><Relationship Id="rId20" Type="http://schemas.openxmlformats.org/officeDocument/2006/relationships/hyperlink" Target="mailto:rkatofsky@navigantconsulting.com" TargetMode="External"/><Relationship Id="rId29" Type="http://schemas.openxmlformats.org/officeDocument/2006/relationships/hyperlink" Target="mailto:joseph.davis@" TargetMode="External"/><Relationship Id="rId1" Type="http://schemas.openxmlformats.org/officeDocument/2006/relationships/hyperlink" Target="mailto:brennan@aesop.rutgers.edu" TargetMode="External"/><Relationship Id="rId6" Type="http://schemas.openxmlformats.org/officeDocument/2006/relationships/hyperlink" Target="mailto:both@aesop.rutgers.edu" TargetMode="External"/><Relationship Id="rId11" Type="http://schemas.openxmlformats.org/officeDocument/2006/relationships/hyperlink" Target="mailto:spaul@princeton.edu" TargetMode="External"/><Relationship Id="rId24" Type="http://schemas.openxmlformats.org/officeDocument/2006/relationships/hyperlink" Target="mailto:guran@aesop.rutgers.edu" TargetMode="External"/><Relationship Id="rId32" Type="http://schemas.openxmlformats.org/officeDocument/2006/relationships/hyperlink" Target="mailto:mryan@cjhesse.com" TargetMode="External"/><Relationship Id="rId37" Type="http://schemas.openxmlformats.org/officeDocument/2006/relationships/hyperlink" Target="mailto:Guy.Watson@dep.state.nj.us" TargetMode="External"/><Relationship Id="rId40" Type="http://schemas.openxmlformats.org/officeDocument/2006/relationships/printerSettings" Target="../printerSettings/printerSettings21.bin"/><Relationship Id="rId5" Type="http://schemas.openxmlformats.org/officeDocument/2006/relationships/hyperlink" Target="mailto:bonos@aesop.rutgers.edu" TargetMode="External"/><Relationship Id="rId15" Type="http://schemas.openxmlformats.org/officeDocument/2006/relationships/hyperlink" Target="mailto:jmelillo@aesop.rutgers.edu" TargetMode="External"/><Relationship Id="rId23" Type="http://schemas.openxmlformats.org/officeDocument/2006/relationships/hyperlink" Target="mailto:both@aesop.rutgers.edu" TargetMode="External"/><Relationship Id="rId28" Type="http://schemas.openxmlformats.org/officeDocument/2006/relationships/hyperlink" Target="mailto:rsimkins@co.burlington.nj.us" TargetMode="External"/><Relationship Id="rId36" Type="http://schemas.openxmlformats.org/officeDocument/2006/relationships/hyperlink" Target="mailto:jswhitman@edgeboro.com" TargetMode="External"/><Relationship Id="rId10" Type="http://schemas.openxmlformats.org/officeDocument/2006/relationships/hyperlink" Target="mailto:helsel@aesop.rutgers.edu" TargetMode="External"/><Relationship Id="rId19" Type="http://schemas.openxmlformats.org/officeDocument/2006/relationships/hyperlink" Target="mailto:rwbrekke@njcat.org" TargetMode="External"/><Relationship Id="rId31" Type="http://schemas.openxmlformats.org/officeDocument/2006/relationships/hyperlink" Target="mailto:gconover@acua.com" TargetMode="External"/><Relationship Id="rId4" Type="http://schemas.openxmlformats.org/officeDocument/2006/relationships/hyperlink" Target="mailto:sullivan@aesop.rutgers.edu" TargetMode="External"/><Relationship Id="rId9" Type="http://schemas.openxmlformats.org/officeDocument/2006/relationships/hyperlink" Target="mailto:schilling@aesop.rutgers.edu" TargetMode="External"/><Relationship Id="rId14" Type="http://schemas.openxmlformats.org/officeDocument/2006/relationships/hyperlink" Target="mailto:rsimkins@co.burlington.nj.us" TargetMode="External"/><Relationship Id="rId22" Type="http://schemas.openxmlformats.org/officeDocument/2006/relationships/hyperlink" Target="mailto:sullivan@aesop.rutgers.edu" TargetMode="External"/><Relationship Id="rId27" Type="http://schemas.openxmlformats.org/officeDocument/2006/relationships/hyperlink" Target="mailto:fennell@envsci.rutgers.edu" TargetMode="External"/><Relationship Id="rId30" Type="http://schemas.openxmlformats.org/officeDocument/2006/relationships/hyperlink" Target="mailto:jwilliams@pcfawc.com" TargetMode="External"/><Relationship Id="rId35" Type="http://schemas.openxmlformats.org/officeDocument/2006/relationships/hyperlink" Target="mailto:lschmidt@scianj.org"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8" Type="http://schemas.openxmlformats.org/officeDocument/2006/relationships/hyperlink" Target="http://www.vt.tuwien.ac.at/biobib/biobib.html.%20Assumes%20dried%20for%20transport" TargetMode="External"/><Relationship Id="rId13" Type="http://schemas.openxmlformats.org/officeDocument/2006/relationships/hyperlink" Target="http://www.vt.tuwien.ac.at/biobib/biobib.html" TargetMode="External"/><Relationship Id="rId18" Type="http://schemas.openxmlformats.org/officeDocument/2006/relationships/printerSettings" Target="../printerSettings/printerSettings5.bin"/><Relationship Id="rId3" Type="http://schemas.openxmlformats.org/officeDocument/2006/relationships/hyperlink" Target="http://www1.eere.energy.gov/biomass/feedstock_databases.html%20(average%20of%2012%20samples)" TargetMode="External"/><Relationship Id="rId7" Type="http://schemas.openxmlformats.org/officeDocument/2006/relationships/hyperlink" Target="http://www.p2pays.org/ref/05/04547.pdf" TargetMode="External"/><Relationship Id="rId12" Type="http://schemas.openxmlformats.org/officeDocument/2006/relationships/hyperlink" Target="http://www.vt.tuwien.ac.at/biobib/biobib.html" TargetMode="External"/><Relationship Id="rId17" Type="http://schemas.openxmlformats.org/officeDocument/2006/relationships/hyperlink" Target="http://www.vt.tuwien.ac.at/biobib/biobib.html" TargetMode="External"/><Relationship Id="rId2" Type="http://schemas.openxmlformats.org/officeDocument/2006/relationships/hyperlink" Target="http://www1.eere.energy.gov/biomass/feedstock_databases.html%20(average%20of%2012%20samples)" TargetMode="External"/><Relationship Id="rId16" Type="http://schemas.openxmlformats.org/officeDocument/2006/relationships/hyperlink" Target="http://www.vt.tuwien.ac.at/biobib/biobib.html" TargetMode="External"/><Relationship Id="rId20" Type="http://schemas.openxmlformats.org/officeDocument/2006/relationships/comments" Target="../comments3.xml"/><Relationship Id="rId1" Type="http://schemas.openxmlformats.org/officeDocument/2006/relationships/hyperlink" Target="http://www1.eere.energy.gov/biomass/feedstock_databases.html%20%20(average%20of%206%20samples)" TargetMode="External"/><Relationship Id="rId6" Type="http://schemas.openxmlformats.org/officeDocument/2006/relationships/hyperlink" Target="http://www.eia.doe.gov/cneaf/solar.renewables/page/trends/table10.html" TargetMode="External"/><Relationship Id="rId11" Type="http://schemas.openxmlformats.org/officeDocument/2006/relationships/hyperlink" Target="http://www1.eere.energy.gov/biomass/feedstock_databases.html%20(average%20of%2012%20samples)" TargetMode="External"/><Relationship Id="rId5" Type="http://schemas.openxmlformats.org/officeDocument/2006/relationships/hyperlink" Target="http://www.eia.doe.gov/cneaf/solar.renewables/page/trends/table10.html" TargetMode="External"/><Relationship Id="rId15" Type="http://schemas.openxmlformats.org/officeDocument/2006/relationships/hyperlink" Target="http://www.vt.tuwien.ac.at/biobib/biobib.html" TargetMode="External"/><Relationship Id="rId10" Type="http://schemas.openxmlformats.org/officeDocument/2006/relationships/hyperlink" Target="http://www1.eere.energy.gov/biomass/feedstock_databases.html%20(average%20of%2012%20samples)" TargetMode="External"/><Relationship Id="rId19" Type="http://schemas.openxmlformats.org/officeDocument/2006/relationships/vmlDrawing" Target="../drawings/vmlDrawing3.vml"/><Relationship Id="rId4" Type="http://schemas.openxmlformats.org/officeDocument/2006/relationships/hyperlink" Target="http://www1.eere.energy.gov/biomass/feedstock_databases.html%20(1%20sample)" TargetMode="External"/><Relationship Id="rId9" Type="http://schemas.openxmlformats.org/officeDocument/2006/relationships/hyperlink" Target="http://www.vt.tuwien.ac.at/biobib/biobib.html" TargetMode="External"/><Relationship Id="rId14" Type="http://schemas.openxmlformats.org/officeDocument/2006/relationships/hyperlink" Target="http://www.vt.tuwien.ac.at/biobib/biobib.html"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6.bin"/><Relationship Id="rId1" Type="http://schemas.openxmlformats.org/officeDocument/2006/relationships/hyperlink" Target="http://www.worldenergy.net/" TargetMode="Externa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2"/>
  <sheetViews>
    <sheetView topLeftCell="A4" workbookViewId="0">
      <selection activeCell="G24" sqref="G24"/>
    </sheetView>
  </sheetViews>
  <sheetFormatPr defaultRowHeight="13.2" x14ac:dyDescent="0.25"/>
  <cols>
    <col min="1" max="1" width="23.6640625" customWidth="1"/>
    <col min="2" max="2" width="27.6640625" customWidth="1"/>
    <col min="3" max="3" width="18.44140625" customWidth="1"/>
    <col min="4" max="4" width="16" customWidth="1"/>
    <col min="8" max="8" width="9" customWidth="1"/>
  </cols>
  <sheetData>
    <row r="2" spans="1:1" x14ac:dyDescent="0.25">
      <c r="A2" s="421" t="s">
        <v>412</v>
      </c>
    </row>
    <row r="4" spans="1:1" x14ac:dyDescent="0.25">
      <c r="A4" t="s">
        <v>413</v>
      </c>
    </row>
    <row r="6" spans="1:1" x14ac:dyDescent="0.25">
      <c r="A6" t="s">
        <v>414</v>
      </c>
    </row>
    <row r="7" spans="1:1" x14ac:dyDescent="0.25">
      <c r="A7" t="s">
        <v>415</v>
      </c>
    </row>
    <row r="8" spans="1:1" x14ac:dyDescent="0.25">
      <c r="A8" t="s">
        <v>416</v>
      </c>
    </row>
    <row r="9" spans="1:1" x14ac:dyDescent="0.25">
      <c r="A9" t="s">
        <v>417</v>
      </c>
    </row>
    <row r="13" spans="1:1" x14ac:dyDescent="0.25">
      <c r="A13" s="421" t="s">
        <v>418</v>
      </c>
    </row>
    <row r="15" spans="1:1" x14ac:dyDescent="0.25">
      <c r="A15" t="s">
        <v>419</v>
      </c>
    </row>
    <row r="16" spans="1:1" x14ac:dyDescent="0.25">
      <c r="A16" s="76" t="s">
        <v>420</v>
      </c>
    </row>
    <row r="18" spans="1:3" x14ac:dyDescent="0.25">
      <c r="A18" s="76" t="s">
        <v>421</v>
      </c>
    </row>
    <row r="22" spans="1:3" ht="30" x14ac:dyDescent="0.5">
      <c r="C22" s="856" t="s">
        <v>1545</v>
      </c>
    </row>
  </sheetData>
  <phoneticPr fontId="0" type="noConversion"/>
  <hyperlinks>
    <hyperlink ref="A16" r:id="rId1"/>
    <hyperlink ref="A18" r:id="rId2" display="http://rusecure.rutgers.edu/compliance/copr.php"/>
  </hyperlinks>
  <pageMargins left="0.55000000000000004" right="0.2" top="1" bottom="1" header="0.5" footer="0.5"/>
  <pageSetup orientation="landscape" r:id="rId3"/>
  <headerFooter alignWithMargins="0">
    <oddFooter>&amp;L7/02/07&amp;C&amp;A&amp;RNJAES Report 2007-1 ©2007 
  New Jersey Agricultural Experiment Station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F142"/>
  <sheetViews>
    <sheetView zoomScaleNormal="100" workbookViewId="0">
      <pane xSplit="1" ySplit="5" topLeftCell="N6" activePane="bottomRight" state="frozen"/>
      <selection activeCell="K23" sqref="K23"/>
      <selection pane="topRight" activeCell="K23" sqref="K23"/>
      <selection pane="bottomLeft" activeCell="K23" sqref="K23"/>
      <selection pane="bottomRight" activeCell="F78" sqref="F78"/>
    </sheetView>
  </sheetViews>
  <sheetFormatPr defaultColWidth="8.88671875" defaultRowHeight="13.2" x14ac:dyDescent="0.25"/>
  <cols>
    <col min="1" max="1" width="38.33203125" customWidth="1"/>
    <col min="2" max="13" width="15.33203125" customWidth="1"/>
    <col min="14" max="14" width="12.44140625" customWidth="1"/>
    <col min="15" max="15" width="10.33203125" customWidth="1"/>
    <col min="16" max="16" width="12.44140625" customWidth="1"/>
    <col min="17" max="17" width="12" customWidth="1"/>
    <col min="18" max="18" width="15.44140625" bestFit="1" customWidth="1"/>
    <col min="19" max="19" width="13.33203125" customWidth="1"/>
    <col min="20" max="20" width="14.109375" bestFit="1" customWidth="1"/>
    <col min="21" max="21" width="11.88671875" customWidth="1"/>
    <col min="22" max="22" width="10.6640625" customWidth="1"/>
    <col min="23" max="23" width="11.33203125" customWidth="1"/>
    <col min="24" max="24" width="11.88671875" customWidth="1"/>
    <col min="25" max="25" width="10.33203125" customWidth="1"/>
    <col min="26" max="26" width="11.44140625" customWidth="1"/>
    <col min="27" max="27" width="10.33203125" customWidth="1"/>
    <col min="28" max="28" width="13.6640625" customWidth="1"/>
    <col min="29" max="29" width="12.6640625" customWidth="1"/>
    <col min="30" max="31" width="12.5546875" customWidth="1"/>
  </cols>
  <sheetData>
    <row r="1" spans="1:32" s="409" customFormat="1" ht="15.6" x14ac:dyDescent="0.3">
      <c r="A1" s="408" t="s">
        <v>320</v>
      </c>
    </row>
    <row r="2" spans="1:32" s="397" customFormat="1" ht="12" customHeight="1" x14ac:dyDescent="0.25">
      <c r="A2" s="399"/>
    </row>
    <row r="3" spans="1:32" s="397" customFormat="1" ht="14.4" thickBot="1" x14ac:dyDescent="0.3">
      <c r="A3" s="401" t="s">
        <v>147</v>
      </c>
      <c r="B3" s="398"/>
      <c r="D3" s="399"/>
      <c r="E3" s="398"/>
      <c r="F3" s="398"/>
      <c r="G3" s="398"/>
      <c r="H3" s="398"/>
      <c r="I3" s="398"/>
      <c r="J3" s="398"/>
      <c r="K3" s="398"/>
      <c r="L3" s="398"/>
      <c r="M3" s="398"/>
      <c r="N3" s="398"/>
      <c r="O3" s="398"/>
      <c r="P3" s="398"/>
      <c r="Q3" s="398"/>
      <c r="R3" s="398"/>
      <c r="S3" s="398"/>
      <c r="T3" s="400"/>
      <c r="U3" s="400"/>
      <c r="V3" s="400"/>
      <c r="W3" s="398"/>
      <c r="X3" s="398"/>
      <c r="Y3" s="398"/>
      <c r="Z3" s="398"/>
      <c r="AA3" s="398"/>
      <c r="AB3" s="398"/>
    </row>
    <row r="4" spans="1:32" ht="38.25" customHeight="1" x14ac:dyDescent="0.3">
      <c r="A4" s="179"/>
      <c r="B4" s="1118" t="s">
        <v>1059</v>
      </c>
      <c r="C4" s="1120"/>
      <c r="D4" s="1120"/>
      <c r="E4" s="1120"/>
      <c r="F4" s="1120"/>
      <c r="G4" s="1120"/>
      <c r="H4" s="1120"/>
      <c r="I4" s="1120"/>
      <c r="J4" s="1120"/>
      <c r="K4" s="1120"/>
      <c r="L4" s="1120"/>
      <c r="M4" s="1125"/>
      <c r="N4" s="1126" t="s">
        <v>597</v>
      </c>
      <c r="O4" s="1127"/>
      <c r="P4" s="1127"/>
      <c r="Q4" s="1128"/>
      <c r="R4" s="1118" t="s">
        <v>321</v>
      </c>
      <c r="S4" s="1120"/>
      <c r="T4" s="1121"/>
      <c r="U4" s="1122" t="s">
        <v>1206</v>
      </c>
      <c r="V4" s="1123"/>
      <c r="W4" s="1123"/>
      <c r="X4" s="1124"/>
      <c r="Y4" s="1118" t="s">
        <v>149</v>
      </c>
      <c r="Z4" s="1119"/>
      <c r="AA4" s="1119"/>
      <c r="AB4" s="1119"/>
      <c r="AC4" s="1113" t="s">
        <v>1325</v>
      </c>
      <c r="AD4" s="1114"/>
      <c r="AE4" s="1115"/>
      <c r="AF4" s="692"/>
    </row>
    <row r="5" spans="1:32" ht="69.75" customHeight="1" x14ac:dyDescent="0.3">
      <c r="A5" s="180" t="s">
        <v>322</v>
      </c>
      <c r="B5" s="621">
        <v>2006</v>
      </c>
      <c r="C5" s="622">
        <v>2007</v>
      </c>
      <c r="D5" s="622">
        <v>2008</v>
      </c>
      <c r="E5" s="622">
        <v>2009</v>
      </c>
      <c r="F5" s="622">
        <v>2010</v>
      </c>
      <c r="G5" s="622" t="s">
        <v>596</v>
      </c>
      <c r="H5" s="618" t="s">
        <v>1022</v>
      </c>
      <c r="I5" s="618" t="s">
        <v>145</v>
      </c>
      <c r="J5" s="619" t="s">
        <v>128</v>
      </c>
      <c r="K5" s="619" t="s">
        <v>129</v>
      </c>
      <c r="L5" s="619" t="s">
        <v>1062</v>
      </c>
      <c r="M5" s="620" t="s">
        <v>1015</v>
      </c>
      <c r="N5" s="177" t="s">
        <v>146</v>
      </c>
      <c r="O5" s="171" t="s">
        <v>201</v>
      </c>
      <c r="P5" s="171" t="s">
        <v>202</v>
      </c>
      <c r="Q5" s="178" t="s">
        <v>203</v>
      </c>
      <c r="R5" s="641" t="s">
        <v>323</v>
      </c>
      <c r="S5" s="642" t="s">
        <v>324</v>
      </c>
      <c r="T5" s="643" t="s">
        <v>616</v>
      </c>
      <c r="U5" s="177" t="s">
        <v>242</v>
      </c>
      <c r="V5" s="170" t="s">
        <v>243</v>
      </c>
      <c r="W5" s="170" t="s">
        <v>21</v>
      </c>
      <c r="X5" s="263" t="s">
        <v>244</v>
      </c>
      <c r="Y5" s="644" t="s">
        <v>150</v>
      </c>
      <c r="Z5" s="645" t="s">
        <v>619</v>
      </c>
      <c r="AA5" s="645" t="s">
        <v>151</v>
      </c>
      <c r="AB5" s="693" t="s">
        <v>152</v>
      </c>
      <c r="AC5" s="697" t="s">
        <v>1205</v>
      </c>
      <c r="AD5" s="694" t="s">
        <v>21</v>
      </c>
      <c r="AE5" s="698" t="s">
        <v>1207</v>
      </c>
      <c r="AF5" s="353"/>
    </row>
    <row r="6" spans="1:32" x14ac:dyDescent="0.25">
      <c r="A6" s="172"/>
      <c r="B6" s="428"/>
      <c r="C6" s="429"/>
      <c r="D6" s="429"/>
      <c r="E6" s="429"/>
      <c r="F6" s="429"/>
      <c r="G6" s="429"/>
      <c r="H6" s="429"/>
      <c r="I6" s="429"/>
      <c r="J6" s="477"/>
      <c r="K6" s="429"/>
      <c r="L6" s="429"/>
      <c r="M6" s="439"/>
      <c r="N6" s="428"/>
      <c r="O6" s="429"/>
      <c r="P6" s="429"/>
      <c r="Q6" s="446"/>
      <c r="R6" s="428"/>
      <c r="S6" s="429"/>
      <c r="T6" s="446"/>
      <c r="U6" s="428"/>
      <c r="V6" s="429"/>
      <c r="W6" s="429"/>
      <c r="X6" s="429"/>
      <c r="Y6" s="428"/>
      <c r="Z6" s="429"/>
      <c r="AA6" s="429"/>
      <c r="AB6" s="429"/>
      <c r="AC6" s="428"/>
      <c r="AD6" s="429"/>
      <c r="AE6" s="446"/>
    </row>
    <row r="7" spans="1:32" x14ac:dyDescent="0.25">
      <c r="A7" s="173" t="s">
        <v>403</v>
      </c>
      <c r="B7" s="430">
        <v>321432</v>
      </c>
      <c r="C7" s="431">
        <v>325816.49</v>
      </c>
      <c r="D7" s="431">
        <v>265267.36</v>
      </c>
      <c r="E7" s="431">
        <v>250800</v>
      </c>
      <c r="F7" s="431">
        <v>241823.54</v>
      </c>
      <c r="G7" s="431">
        <f>AVERAGE(B7:F7)</f>
        <v>281027.87800000003</v>
      </c>
      <c r="H7" s="431">
        <v>4265.8999999999996</v>
      </c>
      <c r="I7" s="444">
        <f>F7-H7</f>
        <v>237557.64</v>
      </c>
      <c r="J7" s="431">
        <f t="shared" ref="J7:J27" si="0">I7*$I$41</f>
        <v>37581.618648000003</v>
      </c>
      <c r="K7" s="444">
        <f t="shared" ref="K7:K27" si="1">I7*$I$42</f>
        <v>46204.960980000003</v>
      </c>
      <c r="L7" s="444">
        <f t="shared" ref="L7:L27" si="2">I7*$I$43</f>
        <v>63974.272451999997</v>
      </c>
      <c r="M7" s="440">
        <v>359563.09</v>
      </c>
      <c r="N7" s="447">
        <v>561</v>
      </c>
      <c r="O7" s="429">
        <v>186.29</v>
      </c>
      <c r="P7" s="429">
        <f>O7</f>
        <v>186.29</v>
      </c>
      <c r="Q7" s="446">
        <f>+P7*0.5</f>
        <v>93.144999999999996</v>
      </c>
      <c r="R7" s="508">
        <f t="shared" ref="R7:R27" si="3">T7*$C$79</f>
        <v>2416031.2000000002</v>
      </c>
      <c r="S7" s="509">
        <f t="shared" ref="S7:S27" si="4">T7*$E$79</f>
        <v>3670720.13</v>
      </c>
      <c r="T7" s="472">
        <f>B92</f>
        <v>274549</v>
      </c>
      <c r="U7" s="502">
        <v>1638.0013513686999</v>
      </c>
      <c r="V7" s="503" t="s">
        <v>1007</v>
      </c>
      <c r="W7" s="504">
        <v>737.42353600000001</v>
      </c>
      <c r="X7" s="505">
        <f t="shared" ref="X7:X26" si="5" xml:space="preserve"> U7-W7</f>
        <v>900.57781536869993</v>
      </c>
      <c r="Y7" s="428"/>
      <c r="Z7" s="429">
        <f>WWTP!$K3</f>
        <v>27.791699999999999</v>
      </c>
      <c r="AA7" s="429">
        <v>9700</v>
      </c>
      <c r="AB7" s="695">
        <f>(Z7*AA7*365)/1000000</f>
        <v>98.396513849999991</v>
      </c>
      <c r="AC7" s="700">
        <v>9866.3358859999989</v>
      </c>
      <c r="AD7" s="701">
        <v>238.31942199999997</v>
      </c>
      <c r="AE7" s="702">
        <f>AC7-AD7</f>
        <v>9628.0164639999985</v>
      </c>
    </row>
    <row r="8" spans="1:32" x14ac:dyDescent="0.25">
      <c r="A8" s="173" t="s">
        <v>325</v>
      </c>
      <c r="B8" s="430">
        <v>708354</v>
      </c>
      <c r="C8" s="431">
        <v>685186.5</v>
      </c>
      <c r="D8" s="431">
        <v>628506.17000000004</v>
      </c>
      <c r="E8" s="431">
        <v>627603</v>
      </c>
      <c r="F8" s="431">
        <v>609889.30000000005</v>
      </c>
      <c r="G8" s="431">
        <f t="shared" ref="G8:G27" si="6">AVERAGE(B8:F8)</f>
        <v>651907.79399999999</v>
      </c>
      <c r="H8" s="431">
        <v>63469.9</v>
      </c>
      <c r="I8" s="444">
        <f t="shared" ref="I8:I27" si="7">F8-H8</f>
        <v>546419.4</v>
      </c>
      <c r="J8" s="431">
        <f t="shared" si="0"/>
        <v>86443.549080000012</v>
      </c>
      <c r="K8" s="444">
        <f t="shared" si="1"/>
        <v>106278.5733</v>
      </c>
      <c r="L8" s="444">
        <f t="shared" si="2"/>
        <v>147150.74442</v>
      </c>
      <c r="M8" s="440">
        <v>1092372.81</v>
      </c>
      <c r="N8" s="447">
        <v>234</v>
      </c>
      <c r="O8" s="429">
        <v>23.31</v>
      </c>
      <c r="P8" s="429">
        <f t="shared" ref="P8:P27" si="8">O8</f>
        <v>23.31</v>
      </c>
      <c r="Q8" s="446">
        <f>+P8*0.5</f>
        <v>11.654999999999999</v>
      </c>
      <c r="R8" s="508">
        <f t="shared" si="3"/>
        <v>7965020.8000000007</v>
      </c>
      <c r="S8" s="509">
        <f t="shared" si="4"/>
        <v>12101400.92</v>
      </c>
      <c r="T8" s="472">
        <f t="shared" ref="T8:T27" si="9">B93</f>
        <v>905116</v>
      </c>
      <c r="U8" s="502">
        <v>1194.1632</v>
      </c>
      <c r="V8" s="503" t="s">
        <v>1008</v>
      </c>
      <c r="W8" s="504">
        <v>0</v>
      </c>
      <c r="X8" s="505">
        <f t="shared" si="5"/>
        <v>1194.1632</v>
      </c>
      <c r="Y8" s="428"/>
      <c r="Z8" s="429">
        <f>WWTP!$K4</f>
        <v>90.942399999999992</v>
      </c>
      <c r="AA8" s="429">
        <v>9700</v>
      </c>
      <c r="AB8" s="695">
        <f t="shared" ref="AB8:AB27" si="10">(Z8*AA8*365)/1000000</f>
        <v>321.98156719999997</v>
      </c>
      <c r="AC8" s="700">
        <v>18526.854862999997</v>
      </c>
      <c r="AD8" s="701">
        <v>12467.787485999999</v>
      </c>
      <c r="AE8" s="702">
        <f t="shared" ref="AE8:AE27" si="11">AC8-AD8</f>
        <v>6059.0673769999976</v>
      </c>
    </row>
    <row r="9" spans="1:32" x14ac:dyDescent="0.25">
      <c r="A9" s="173" t="s">
        <v>328</v>
      </c>
      <c r="B9" s="430">
        <v>355890</v>
      </c>
      <c r="C9" s="431">
        <v>357025.03</v>
      </c>
      <c r="D9" s="431">
        <v>342772.79</v>
      </c>
      <c r="E9" s="431">
        <v>344148</v>
      </c>
      <c r="F9" s="431">
        <v>314757.96999999997</v>
      </c>
      <c r="G9" s="431">
        <f t="shared" si="6"/>
        <v>342918.75800000003</v>
      </c>
      <c r="H9" s="431">
        <v>48181.7</v>
      </c>
      <c r="I9" s="444">
        <f t="shared" si="7"/>
        <v>266576.26999999996</v>
      </c>
      <c r="J9" s="431">
        <f t="shared" si="0"/>
        <v>42172.365913999995</v>
      </c>
      <c r="K9" s="444">
        <f t="shared" si="1"/>
        <v>51849.084514999995</v>
      </c>
      <c r="L9" s="444">
        <f t="shared" si="2"/>
        <v>71788.989510999978</v>
      </c>
      <c r="M9" s="440">
        <v>551839.25</v>
      </c>
      <c r="N9" s="447">
        <v>805</v>
      </c>
      <c r="O9" s="429">
        <v>254.446</v>
      </c>
      <c r="P9" s="429">
        <f t="shared" si="8"/>
        <v>254.446</v>
      </c>
      <c r="Q9" s="446">
        <f t="shared" ref="Q9:Q27" si="12">+P9*0.5</f>
        <v>127.223</v>
      </c>
      <c r="R9" s="508">
        <f t="shared" si="3"/>
        <v>3948859.2</v>
      </c>
      <c r="S9" s="509">
        <f t="shared" si="4"/>
        <v>5999573.5800000001</v>
      </c>
      <c r="T9" s="472">
        <f t="shared" si="9"/>
        <v>448734</v>
      </c>
      <c r="U9" s="502">
        <v>2677.5167271646746</v>
      </c>
      <c r="V9" s="503" t="s">
        <v>1007</v>
      </c>
      <c r="W9" s="504">
        <v>1019.152098</v>
      </c>
      <c r="X9" s="505">
        <f t="shared" si="5"/>
        <v>1658.3646291646746</v>
      </c>
      <c r="Y9" s="428"/>
      <c r="Z9" s="429">
        <f>WWTP!$K5</f>
        <v>20.2745</v>
      </c>
      <c r="AA9" s="429">
        <v>9700</v>
      </c>
      <c r="AB9" s="695">
        <f t="shared" si="10"/>
        <v>71.781867250000005</v>
      </c>
      <c r="AC9" s="700">
        <v>9172.7624339999984</v>
      </c>
      <c r="AD9" s="701">
        <v>8078.058372999998</v>
      </c>
      <c r="AE9" s="702">
        <f t="shared" si="11"/>
        <v>1094.7040610000004</v>
      </c>
    </row>
    <row r="10" spans="1:32" x14ac:dyDescent="0.25">
      <c r="A10" s="173" t="s">
        <v>331</v>
      </c>
      <c r="B10" s="430">
        <v>373754</v>
      </c>
      <c r="C10" s="431">
        <v>377586.62</v>
      </c>
      <c r="D10" s="431">
        <v>378341.79</v>
      </c>
      <c r="E10" s="431">
        <v>375518</v>
      </c>
      <c r="F10" s="431">
        <v>363868.19</v>
      </c>
      <c r="G10" s="431">
        <f t="shared" si="6"/>
        <v>373813.72</v>
      </c>
      <c r="H10" s="431">
        <v>279236.40000000002</v>
      </c>
      <c r="I10" s="444">
        <f t="shared" si="7"/>
        <v>84631.789999999979</v>
      </c>
      <c r="J10" s="431">
        <f t="shared" si="0"/>
        <v>13388.749177999998</v>
      </c>
      <c r="K10" s="444">
        <f t="shared" si="1"/>
        <v>16460.883154999996</v>
      </c>
      <c r="L10" s="444">
        <f t="shared" si="2"/>
        <v>22791.341046999994</v>
      </c>
      <c r="M10" s="440">
        <v>590903.79</v>
      </c>
      <c r="N10" s="447">
        <v>222</v>
      </c>
      <c r="O10" s="429">
        <v>46.698999999999998</v>
      </c>
      <c r="P10" s="429">
        <f t="shared" si="8"/>
        <v>46.698999999999998</v>
      </c>
      <c r="Q10" s="446">
        <f t="shared" si="12"/>
        <v>23.349499999999999</v>
      </c>
      <c r="R10" s="508">
        <f t="shared" si="3"/>
        <v>4520181.6000000006</v>
      </c>
      <c r="S10" s="509">
        <f t="shared" si="4"/>
        <v>6867594.0899999999</v>
      </c>
      <c r="T10" s="472">
        <f t="shared" si="9"/>
        <v>513657</v>
      </c>
      <c r="U10" s="502">
        <v>319.86940351947902</v>
      </c>
      <c r="V10" s="503" t="s">
        <v>1007</v>
      </c>
      <c r="W10" s="504">
        <v>297.00299999999999</v>
      </c>
      <c r="X10" s="505">
        <f t="shared" si="5"/>
        <v>22.866403519479036</v>
      </c>
      <c r="Y10" s="428"/>
      <c r="Z10" s="429">
        <f>WWTP!$K6</f>
        <v>54.125</v>
      </c>
      <c r="AA10" s="429">
        <v>9700</v>
      </c>
      <c r="AB10" s="695">
        <f t="shared" si="10"/>
        <v>191.62956249999999</v>
      </c>
      <c r="AC10" s="700">
        <v>15513.029091999999</v>
      </c>
      <c r="AD10" s="701">
        <v>9657.7788340000006</v>
      </c>
      <c r="AE10" s="702">
        <f t="shared" si="11"/>
        <v>5855.2502579999982</v>
      </c>
    </row>
    <row r="11" spans="1:32" x14ac:dyDescent="0.25">
      <c r="A11" s="173" t="s">
        <v>333</v>
      </c>
      <c r="B11" s="430">
        <v>136161</v>
      </c>
      <c r="C11" s="431">
        <v>98150.8</v>
      </c>
      <c r="D11" s="431">
        <v>93965.85</v>
      </c>
      <c r="E11" s="431">
        <v>92650</v>
      </c>
      <c r="F11" s="431">
        <v>91025.02</v>
      </c>
      <c r="G11" s="431">
        <f t="shared" si="6"/>
        <v>102390.53400000001</v>
      </c>
      <c r="H11" s="431">
        <v>15.7</v>
      </c>
      <c r="I11" s="444">
        <f t="shared" si="7"/>
        <v>91009.32</v>
      </c>
      <c r="J11" s="431">
        <f t="shared" si="0"/>
        <v>14397.674424000003</v>
      </c>
      <c r="K11" s="444">
        <f t="shared" si="1"/>
        <v>17701.312740000001</v>
      </c>
      <c r="L11" s="444">
        <f t="shared" si="2"/>
        <v>24508.809875999999</v>
      </c>
      <c r="M11" s="440">
        <v>160142.65</v>
      </c>
      <c r="N11" s="447">
        <v>255</v>
      </c>
      <c r="O11" s="429">
        <v>53.075000000000003</v>
      </c>
      <c r="P11" s="429">
        <f t="shared" si="8"/>
        <v>53.075000000000003</v>
      </c>
      <c r="Q11" s="446">
        <f t="shared" si="12"/>
        <v>26.537500000000001</v>
      </c>
      <c r="R11" s="508">
        <f t="shared" si="3"/>
        <v>855932.00000000012</v>
      </c>
      <c r="S11" s="509">
        <f t="shared" si="4"/>
        <v>1300433.0499999998</v>
      </c>
      <c r="T11" s="472">
        <f t="shared" si="9"/>
        <v>97265</v>
      </c>
      <c r="U11" s="502">
        <v>803.05677939999998</v>
      </c>
      <c r="V11" s="503" t="s">
        <v>1006</v>
      </c>
      <c r="W11" s="504">
        <v>70.643416999999999</v>
      </c>
      <c r="X11" s="505">
        <f t="shared" si="5"/>
        <v>732.41336239999998</v>
      </c>
      <c r="Y11" s="428"/>
      <c r="Z11" s="429">
        <f>WWTP!$K7</f>
        <v>15.204999999999998</v>
      </c>
      <c r="AA11" s="429">
        <v>9700</v>
      </c>
      <c r="AB11" s="695">
        <f t="shared" si="10"/>
        <v>53.833302499999995</v>
      </c>
      <c r="AC11" s="700">
        <v>3586.0348919999997</v>
      </c>
      <c r="AD11" s="701">
        <v>3584.9325819999995</v>
      </c>
      <c r="AE11" s="702">
        <f t="shared" si="11"/>
        <v>1.102310000000216</v>
      </c>
    </row>
    <row r="12" spans="1:32" x14ac:dyDescent="0.25">
      <c r="A12" s="173" t="s">
        <v>335</v>
      </c>
      <c r="B12" s="430">
        <v>174498</v>
      </c>
      <c r="C12" s="431">
        <v>109469.5</v>
      </c>
      <c r="D12" s="431">
        <v>122267.52</v>
      </c>
      <c r="E12" s="431">
        <v>119815</v>
      </c>
      <c r="F12" s="431">
        <v>113950.24</v>
      </c>
      <c r="G12" s="431">
        <f t="shared" si="6"/>
        <v>128000.052</v>
      </c>
      <c r="H12" s="431">
        <v>165.2</v>
      </c>
      <c r="I12" s="444">
        <f t="shared" si="7"/>
        <v>113785.04000000001</v>
      </c>
      <c r="J12" s="431">
        <f t="shared" si="0"/>
        <v>18000.793328000003</v>
      </c>
      <c r="K12" s="444">
        <f t="shared" si="1"/>
        <v>22131.190280000003</v>
      </c>
      <c r="L12" s="444">
        <f t="shared" si="2"/>
        <v>30642.311271999999</v>
      </c>
      <c r="M12" s="440">
        <v>216818.95</v>
      </c>
      <c r="N12" s="447">
        <v>489</v>
      </c>
      <c r="O12" s="429">
        <v>147.511</v>
      </c>
      <c r="P12" s="429">
        <f t="shared" si="8"/>
        <v>147.511</v>
      </c>
      <c r="Q12" s="446">
        <f t="shared" si="12"/>
        <v>73.755499999999998</v>
      </c>
      <c r="R12" s="508">
        <f t="shared" si="3"/>
        <v>1380702.4000000001</v>
      </c>
      <c r="S12" s="509">
        <f t="shared" si="4"/>
        <v>2097726.2599999998</v>
      </c>
      <c r="T12" s="472">
        <f t="shared" si="9"/>
        <v>156898</v>
      </c>
      <c r="U12" s="502">
        <v>890.09893009999996</v>
      </c>
      <c r="V12" s="503" t="s">
        <v>1008</v>
      </c>
      <c r="W12" s="504">
        <v>699.89516800000001</v>
      </c>
      <c r="X12" s="505">
        <f t="shared" si="5"/>
        <v>190.20376209999995</v>
      </c>
      <c r="Y12" s="428"/>
      <c r="Z12" s="429">
        <f>WWTP!$K8</f>
        <v>11.457599999999999</v>
      </c>
      <c r="AA12" s="429">
        <v>9700</v>
      </c>
      <c r="AB12" s="695">
        <f t="shared" si="10"/>
        <v>40.565632799999996</v>
      </c>
      <c r="AC12" s="700">
        <v>2411.8542799999996</v>
      </c>
      <c r="AD12" s="701">
        <v>1393.7607639999999</v>
      </c>
      <c r="AE12" s="702">
        <f t="shared" si="11"/>
        <v>1018.0935159999997</v>
      </c>
    </row>
    <row r="13" spans="1:32" x14ac:dyDescent="0.25">
      <c r="A13" s="173" t="s">
        <v>336</v>
      </c>
      <c r="B13" s="430">
        <v>588419</v>
      </c>
      <c r="C13" s="431">
        <v>571659.32999999996</v>
      </c>
      <c r="D13" s="431">
        <v>526199.56000000006</v>
      </c>
      <c r="E13" s="431">
        <v>490753</v>
      </c>
      <c r="F13" s="431">
        <v>454117.61</v>
      </c>
      <c r="G13" s="431">
        <f t="shared" si="6"/>
        <v>526229.69999999995</v>
      </c>
      <c r="H13" s="431">
        <v>352844.7</v>
      </c>
      <c r="I13" s="444">
        <f t="shared" si="7"/>
        <v>101272.90999999997</v>
      </c>
      <c r="J13" s="431">
        <f t="shared" si="0"/>
        <v>16021.374361999997</v>
      </c>
      <c r="K13" s="444">
        <f t="shared" si="1"/>
        <v>19697.580994999997</v>
      </c>
      <c r="L13" s="444">
        <f t="shared" si="2"/>
        <v>27272.79466299999</v>
      </c>
      <c r="M13" s="440">
        <v>824484.81</v>
      </c>
      <c r="N13" s="447">
        <v>126</v>
      </c>
      <c r="O13" s="429">
        <v>0</v>
      </c>
      <c r="P13" s="429">
        <f t="shared" si="8"/>
        <v>0</v>
      </c>
      <c r="Q13" s="446">
        <v>0</v>
      </c>
      <c r="R13" s="508">
        <f t="shared" si="3"/>
        <v>6898927.2000000002</v>
      </c>
      <c r="S13" s="509">
        <f t="shared" si="4"/>
        <v>10481665.529999999</v>
      </c>
      <c r="T13" s="472">
        <f t="shared" si="9"/>
        <v>783969</v>
      </c>
      <c r="U13" s="502">
        <v>0</v>
      </c>
      <c r="V13" s="503" t="s">
        <v>1009</v>
      </c>
      <c r="W13" s="504">
        <v>0</v>
      </c>
      <c r="X13" s="505">
        <f t="shared" si="5"/>
        <v>0</v>
      </c>
      <c r="Y13" s="428"/>
      <c r="Z13" s="429">
        <f>WWTP!$K9</f>
        <v>248.9288</v>
      </c>
      <c r="AA13" s="429">
        <v>9700</v>
      </c>
      <c r="AB13" s="695">
        <f t="shared" si="10"/>
        <v>881.33241639999994</v>
      </c>
      <c r="AC13" s="700">
        <v>48886.125727999999</v>
      </c>
      <c r="AD13" s="701">
        <v>40115.485981999991</v>
      </c>
      <c r="AE13" s="702">
        <f t="shared" si="11"/>
        <v>8770.639746000008</v>
      </c>
    </row>
    <row r="14" spans="1:32" x14ac:dyDescent="0.25">
      <c r="A14" s="173" t="s">
        <v>337</v>
      </c>
      <c r="B14" s="430">
        <v>226650</v>
      </c>
      <c r="C14" s="431">
        <v>216785.3</v>
      </c>
      <c r="D14" s="431">
        <v>213606.81</v>
      </c>
      <c r="E14" s="431">
        <v>199013</v>
      </c>
      <c r="F14" s="431">
        <v>184038.16</v>
      </c>
      <c r="G14" s="431">
        <f t="shared" si="6"/>
        <v>208018.65400000001</v>
      </c>
      <c r="H14" s="431">
        <v>158659</v>
      </c>
      <c r="I14" s="444">
        <f t="shared" si="7"/>
        <v>25379.160000000003</v>
      </c>
      <c r="J14" s="431">
        <f t="shared" si="0"/>
        <v>4014.9831120000008</v>
      </c>
      <c r="K14" s="444">
        <f t="shared" si="1"/>
        <v>4936.2466200000008</v>
      </c>
      <c r="L14" s="444">
        <f t="shared" si="2"/>
        <v>6834.6077880000003</v>
      </c>
      <c r="M14" s="440">
        <v>398606.17</v>
      </c>
      <c r="N14" s="447">
        <v>325</v>
      </c>
      <c r="O14" s="429">
        <v>29.373000000000001</v>
      </c>
      <c r="P14" s="429">
        <f t="shared" si="8"/>
        <v>29.373000000000001</v>
      </c>
      <c r="Q14" s="446">
        <f t="shared" si="12"/>
        <v>14.686500000000001</v>
      </c>
      <c r="R14" s="508">
        <f t="shared" si="3"/>
        <v>2536934.4000000004</v>
      </c>
      <c r="S14" s="509">
        <f t="shared" si="4"/>
        <v>3854410.5599999996</v>
      </c>
      <c r="T14" s="472">
        <f t="shared" si="9"/>
        <v>288288</v>
      </c>
      <c r="U14" s="502">
        <v>2709.58754</v>
      </c>
      <c r="V14" s="503" t="s">
        <v>1007</v>
      </c>
      <c r="W14" s="504">
        <v>0</v>
      </c>
      <c r="X14" s="505">
        <f t="shared" si="5"/>
        <v>2709.58754</v>
      </c>
      <c r="Y14" s="428"/>
      <c r="Z14" s="429">
        <f>WWTP!$K10</f>
        <v>15.99</v>
      </c>
      <c r="AA14" s="429">
        <v>9700</v>
      </c>
      <c r="AB14" s="695">
        <f t="shared" si="10"/>
        <v>56.612594999999999</v>
      </c>
      <c r="AC14" s="700">
        <v>10454.087577999999</v>
      </c>
      <c r="AD14" s="701">
        <v>186.731314</v>
      </c>
      <c r="AE14" s="702">
        <f t="shared" si="11"/>
        <v>10267.356263999998</v>
      </c>
    </row>
    <row r="15" spans="1:32" x14ac:dyDescent="0.25">
      <c r="A15" s="173" t="s">
        <v>338</v>
      </c>
      <c r="B15" s="430">
        <v>508349</v>
      </c>
      <c r="C15" s="431">
        <v>434825.9</v>
      </c>
      <c r="D15" s="431">
        <v>414617.77</v>
      </c>
      <c r="E15" s="431">
        <v>386146</v>
      </c>
      <c r="F15" s="431">
        <v>369881.84</v>
      </c>
      <c r="G15" s="431">
        <f t="shared" si="6"/>
        <v>422764.10199999996</v>
      </c>
      <c r="H15" s="431">
        <v>935.4</v>
      </c>
      <c r="I15" s="444">
        <f t="shared" si="7"/>
        <v>368946.44</v>
      </c>
      <c r="J15" s="431">
        <f t="shared" si="0"/>
        <v>58367.326808000005</v>
      </c>
      <c r="K15" s="444">
        <f t="shared" si="1"/>
        <v>71760.082580000002</v>
      </c>
      <c r="L15" s="444">
        <f t="shared" si="2"/>
        <v>99357.276291999995</v>
      </c>
      <c r="M15" s="440">
        <v>541234.12</v>
      </c>
      <c r="N15" s="447">
        <v>47</v>
      </c>
      <c r="O15" s="429">
        <v>4.0339999999999998</v>
      </c>
      <c r="P15" s="429">
        <f t="shared" si="8"/>
        <v>4.0339999999999998</v>
      </c>
      <c r="Q15" s="446">
        <f t="shared" si="12"/>
        <v>2.0169999999999999</v>
      </c>
      <c r="R15" s="508">
        <f t="shared" si="3"/>
        <v>5581540.8000000007</v>
      </c>
      <c r="S15" s="509">
        <f t="shared" si="4"/>
        <v>8480136.4199999999</v>
      </c>
      <c r="T15" s="472">
        <f t="shared" si="9"/>
        <v>634266</v>
      </c>
      <c r="U15" s="502">
        <v>0</v>
      </c>
      <c r="V15" s="503" t="s">
        <v>1009</v>
      </c>
      <c r="W15" s="504">
        <v>0</v>
      </c>
      <c r="X15" s="505">
        <f t="shared" si="5"/>
        <v>0</v>
      </c>
      <c r="Y15" s="428"/>
      <c r="Z15" s="429">
        <f>WWTP!$K11</f>
        <v>36.505400000000002</v>
      </c>
      <c r="AA15" s="429">
        <v>9700</v>
      </c>
      <c r="AB15" s="695">
        <f t="shared" si="10"/>
        <v>129.24736870000001</v>
      </c>
      <c r="AC15" s="700">
        <v>5593.4516329999997</v>
      </c>
      <c r="AD15" s="701">
        <v>4583.5152109999999</v>
      </c>
      <c r="AE15" s="702">
        <f t="shared" si="11"/>
        <v>1009.9364219999998</v>
      </c>
    </row>
    <row r="16" spans="1:32" x14ac:dyDescent="0.25">
      <c r="A16" s="173" t="s">
        <v>339</v>
      </c>
      <c r="B16" s="430">
        <v>102725</v>
      </c>
      <c r="C16" s="431">
        <v>79710.399999999994</v>
      </c>
      <c r="D16" s="431">
        <v>80213.649999999994</v>
      </c>
      <c r="E16" s="431">
        <v>78938</v>
      </c>
      <c r="F16" s="431">
        <v>76176.070000000007</v>
      </c>
      <c r="G16" s="431">
        <f t="shared" si="6"/>
        <v>83552.623999999996</v>
      </c>
      <c r="H16" s="431">
        <v>27109.3</v>
      </c>
      <c r="I16" s="444">
        <f t="shared" si="7"/>
        <v>49066.770000000004</v>
      </c>
      <c r="J16" s="431">
        <f t="shared" si="0"/>
        <v>7762.3630140000014</v>
      </c>
      <c r="K16" s="444">
        <f t="shared" si="1"/>
        <v>9543.4867650000015</v>
      </c>
      <c r="L16" s="444">
        <f t="shared" si="2"/>
        <v>13213.681161</v>
      </c>
      <c r="M16" s="440">
        <v>113967.73</v>
      </c>
      <c r="N16" s="447">
        <v>430</v>
      </c>
      <c r="O16" s="429">
        <v>102.52200000000001</v>
      </c>
      <c r="P16" s="429">
        <f t="shared" si="8"/>
        <v>102.52200000000001</v>
      </c>
      <c r="Q16" s="446">
        <f t="shared" si="12"/>
        <v>51.261000000000003</v>
      </c>
      <c r="R16" s="508">
        <f t="shared" si="3"/>
        <v>1129471.2000000002</v>
      </c>
      <c r="S16" s="509">
        <f t="shared" si="4"/>
        <v>1716026.13</v>
      </c>
      <c r="T16" s="472">
        <f t="shared" si="9"/>
        <v>128349</v>
      </c>
      <c r="U16" s="502">
        <v>0</v>
      </c>
      <c r="V16" s="503" t="s">
        <v>1010</v>
      </c>
      <c r="W16" s="504">
        <v>0</v>
      </c>
      <c r="X16" s="505">
        <f t="shared" si="5"/>
        <v>0</v>
      </c>
      <c r="Y16" s="428"/>
      <c r="Z16" s="429">
        <f>WWTP!$K12</f>
        <v>3.0325000000000002</v>
      </c>
      <c r="AA16" s="429">
        <v>9700</v>
      </c>
      <c r="AB16" s="695">
        <f t="shared" si="10"/>
        <v>10.736566250000001</v>
      </c>
      <c r="AC16" s="700">
        <v>1836.4484599999998</v>
      </c>
      <c r="AD16" s="701">
        <v>28.439597999999997</v>
      </c>
      <c r="AE16" s="702">
        <f t="shared" si="11"/>
        <v>1808.0088619999999</v>
      </c>
    </row>
    <row r="17" spans="1:31" x14ac:dyDescent="0.25">
      <c r="A17" s="173" t="s">
        <v>340</v>
      </c>
      <c r="B17" s="430">
        <v>267040</v>
      </c>
      <c r="C17" s="431">
        <v>267210.2</v>
      </c>
      <c r="D17" s="431">
        <v>256975.85</v>
      </c>
      <c r="E17" s="431">
        <v>246758</v>
      </c>
      <c r="F17" s="431">
        <v>235889.53</v>
      </c>
      <c r="G17" s="431">
        <f t="shared" si="6"/>
        <v>254774.71599999996</v>
      </c>
      <c r="H17" s="431">
        <v>120.7</v>
      </c>
      <c r="I17" s="444">
        <f t="shared" si="7"/>
        <v>235768.83</v>
      </c>
      <c r="J17" s="431">
        <f t="shared" si="0"/>
        <v>37298.628905999998</v>
      </c>
      <c r="K17" s="444">
        <f t="shared" si="1"/>
        <v>45857.037434999998</v>
      </c>
      <c r="L17" s="444">
        <f t="shared" si="2"/>
        <v>63492.545918999989</v>
      </c>
      <c r="M17" s="440">
        <v>398031.25</v>
      </c>
      <c r="N17" s="447">
        <v>226</v>
      </c>
      <c r="O17" s="429">
        <v>43.234000000000002</v>
      </c>
      <c r="P17" s="429">
        <f t="shared" si="8"/>
        <v>43.234000000000002</v>
      </c>
      <c r="Q17" s="446">
        <f t="shared" si="12"/>
        <v>21.617000000000001</v>
      </c>
      <c r="R17" s="508">
        <f t="shared" si="3"/>
        <v>3225314.4000000004</v>
      </c>
      <c r="S17" s="509">
        <f t="shared" si="4"/>
        <v>4900278.8099999996</v>
      </c>
      <c r="T17" s="472">
        <f t="shared" si="9"/>
        <v>366513</v>
      </c>
      <c r="U17" s="502">
        <v>0</v>
      </c>
      <c r="V17" s="503" t="s">
        <v>1010</v>
      </c>
      <c r="W17" s="504">
        <v>0</v>
      </c>
      <c r="X17" s="505">
        <f t="shared" si="5"/>
        <v>0</v>
      </c>
      <c r="Y17" s="428"/>
      <c r="Z17" s="429">
        <f>WWTP!$K13</f>
        <v>42.206699999999998</v>
      </c>
      <c r="AA17" s="429">
        <v>9700</v>
      </c>
      <c r="AB17" s="695">
        <f t="shared" si="10"/>
        <v>149.43282134999998</v>
      </c>
      <c r="AC17" s="700">
        <v>15409.963107</v>
      </c>
      <c r="AD17" s="701">
        <v>1982.6147659999997</v>
      </c>
      <c r="AE17" s="702">
        <f t="shared" si="11"/>
        <v>13427.348341000001</v>
      </c>
    </row>
    <row r="18" spans="1:31" x14ac:dyDescent="0.25">
      <c r="A18" s="173" t="s">
        <v>341</v>
      </c>
      <c r="B18" s="430">
        <v>614876</v>
      </c>
      <c r="C18" s="431">
        <v>618890.66</v>
      </c>
      <c r="D18" s="432">
        <v>587890.96</v>
      </c>
      <c r="E18" s="431">
        <v>550571</v>
      </c>
      <c r="F18" s="431">
        <v>553312.05000000005</v>
      </c>
      <c r="G18" s="431">
        <f t="shared" si="6"/>
        <v>585108.13399999996</v>
      </c>
      <c r="H18" s="431">
        <v>18671.900000000001</v>
      </c>
      <c r="I18" s="444">
        <f t="shared" si="7"/>
        <v>534640.15</v>
      </c>
      <c r="J18" s="431">
        <f t="shared" si="0"/>
        <v>84580.071730000011</v>
      </c>
      <c r="K18" s="444">
        <f t="shared" si="1"/>
        <v>103987.50917500001</v>
      </c>
      <c r="L18" s="444">
        <f t="shared" si="2"/>
        <v>143978.59239499999</v>
      </c>
      <c r="M18" s="440">
        <v>926784.99</v>
      </c>
      <c r="N18" s="447">
        <v>311</v>
      </c>
      <c r="O18" s="429">
        <v>50.677999999999997</v>
      </c>
      <c r="P18" s="429">
        <f t="shared" si="8"/>
        <v>50.677999999999997</v>
      </c>
      <c r="Q18" s="446">
        <f t="shared" si="12"/>
        <v>25.338999999999999</v>
      </c>
      <c r="R18" s="508">
        <f t="shared" si="3"/>
        <v>7126750.4000000004</v>
      </c>
      <c r="S18" s="509">
        <f t="shared" si="4"/>
        <v>10827801.459999999</v>
      </c>
      <c r="T18" s="472">
        <f t="shared" si="9"/>
        <v>809858</v>
      </c>
      <c r="U18" s="502">
        <v>4428.5576053097093</v>
      </c>
      <c r="V18" s="503" t="s">
        <v>1007</v>
      </c>
      <c r="W18" s="504">
        <v>3642.692</v>
      </c>
      <c r="X18" s="505">
        <f t="shared" si="5"/>
        <v>785.86560530970928</v>
      </c>
      <c r="Y18" s="428"/>
      <c r="Z18" s="429">
        <f>WWTP!$K14</f>
        <v>122.7991</v>
      </c>
      <c r="AA18" s="429">
        <v>9700</v>
      </c>
      <c r="AB18" s="695">
        <f t="shared" si="10"/>
        <v>434.77021354999999</v>
      </c>
      <c r="AC18" s="700">
        <v>48361.977322999999</v>
      </c>
      <c r="AD18" s="701">
        <v>8058.3270239999993</v>
      </c>
      <c r="AE18" s="702">
        <f t="shared" si="11"/>
        <v>40303.650299000001</v>
      </c>
    </row>
    <row r="19" spans="1:31" x14ac:dyDescent="0.25">
      <c r="A19" s="173" t="s">
        <v>342</v>
      </c>
      <c r="B19" s="430">
        <v>538894</v>
      </c>
      <c r="C19" s="431">
        <v>490083.77</v>
      </c>
      <c r="D19" s="431">
        <v>463912.98</v>
      </c>
      <c r="E19" s="431">
        <v>441780</v>
      </c>
      <c r="F19" s="431">
        <v>430088.67</v>
      </c>
      <c r="G19" s="431">
        <f t="shared" si="6"/>
        <v>472951.88399999996</v>
      </c>
      <c r="H19" s="431">
        <v>344.1</v>
      </c>
      <c r="I19" s="444">
        <f t="shared" si="7"/>
        <v>429744.57</v>
      </c>
      <c r="J19" s="431">
        <f t="shared" si="0"/>
        <v>67985.590974000006</v>
      </c>
      <c r="K19" s="444">
        <f t="shared" si="1"/>
        <v>83585.318865000008</v>
      </c>
      <c r="L19" s="444">
        <f t="shared" si="2"/>
        <v>115730.212701</v>
      </c>
      <c r="M19" s="440">
        <v>746942.83</v>
      </c>
      <c r="N19" s="447">
        <v>472</v>
      </c>
      <c r="O19" s="429">
        <v>78.971000000000004</v>
      </c>
      <c r="P19" s="429">
        <f t="shared" si="8"/>
        <v>78.971000000000004</v>
      </c>
      <c r="Q19" s="446">
        <f t="shared" si="12"/>
        <v>39.485500000000002</v>
      </c>
      <c r="R19" s="508">
        <f t="shared" si="3"/>
        <v>5547344</v>
      </c>
      <c r="S19" s="509">
        <f t="shared" si="4"/>
        <v>8428180.5999999996</v>
      </c>
      <c r="T19" s="472">
        <f t="shared" si="9"/>
        <v>630380</v>
      </c>
      <c r="U19" s="502">
        <v>2010.750597</v>
      </c>
      <c r="V19" s="503" t="s">
        <v>1007</v>
      </c>
      <c r="W19" s="504">
        <v>1788.5</v>
      </c>
      <c r="X19" s="505">
        <f t="shared" si="5"/>
        <v>222.25059699999997</v>
      </c>
      <c r="Y19" s="428"/>
      <c r="Z19" s="429">
        <f>WWTP!$K15</f>
        <v>49.477800000000002</v>
      </c>
      <c r="AA19" s="429">
        <v>9700</v>
      </c>
      <c r="AB19" s="695">
        <f t="shared" si="10"/>
        <v>175.17615090000001</v>
      </c>
      <c r="AC19" s="700">
        <v>9723.4765099999986</v>
      </c>
      <c r="AD19" s="701">
        <v>1983.7170759999997</v>
      </c>
      <c r="AE19" s="702">
        <f t="shared" si="11"/>
        <v>7739.7594339999987</v>
      </c>
    </row>
    <row r="20" spans="1:31" x14ac:dyDescent="0.25">
      <c r="A20" s="173" t="s">
        <v>343</v>
      </c>
      <c r="B20" s="430">
        <v>403988</v>
      </c>
      <c r="C20" s="431">
        <v>358331.1</v>
      </c>
      <c r="D20" s="431">
        <v>329614.53000000003</v>
      </c>
      <c r="E20" s="431">
        <v>306058</v>
      </c>
      <c r="F20" s="431">
        <v>295927.15999999997</v>
      </c>
      <c r="G20" s="431">
        <f t="shared" si="6"/>
        <v>338783.75799999997</v>
      </c>
      <c r="H20" s="431">
        <v>12709.6</v>
      </c>
      <c r="I20" s="444">
        <f t="shared" si="7"/>
        <v>283217.56</v>
      </c>
      <c r="J20" s="431">
        <f t="shared" si="0"/>
        <v>44805.017992000001</v>
      </c>
      <c r="K20" s="444">
        <f t="shared" si="1"/>
        <v>55085.815419999999</v>
      </c>
      <c r="L20" s="444">
        <f t="shared" si="2"/>
        <v>76270.488907999999</v>
      </c>
      <c r="M20" s="440">
        <v>541380.71</v>
      </c>
      <c r="N20" s="447">
        <v>469</v>
      </c>
      <c r="O20" s="429">
        <v>132.13200000000001</v>
      </c>
      <c r="P20" s="429">
        <f t="shared" si="8"/>
        <v>132.13200000000001</v>
      </c>
      <c r="Q20" s="446">
        <f t="shared" si="12"/>
        <v>66.066000000000003</v>
      </c>
      <c r="R20" s="508">
        <f t="shared" si="3"/>
        <v>4332028.8000000007</v>
      </c>
      <c r="S20" s="509">
        <f t="shared" si="4"/>
        <v>6581730.1199999992</v>
      </c>
      <c r="T20" s="472">
        <f t="shared" si="9"/>
        <v>492276</v>
      </c>
      <c r="U20" s="502">
        <v>446.87619649999999</v>
      </c>
      <c r="V20" s="503" t="s">
        <v>1011</v>
      </c>
      <c r="W20" s="504">
        <v>0</v>
      </c>
      <c r="X20" s="505">
        <f t="shared" si="5"/>
        <v>446.87619649999999</v>
      </c>
      <c r="Y20" s="428"/>
      <c r="Z20" s="429">
        <f>WWTP!$K16</f>
        <v>41.436799999999998</v>
      </c>
      <c r="AA20" s="429">
        <v>9700</v>
      </c>
      <c r="AB20" s="695">
        <f t="shared" si="10"/>
        <v>146.70699039999997</v>
      </c>
      <c r="AC20" s="700">
        <v>14645.841814999998</v>
      </c>
      <c r="AD20" s="701">
        <v>3885.0915949999999</v>
      </c>
      <c r="AE20" s="702">
        <f t="shared" si="11"/>
        <v>10760.750219999998</v>
      </c>
    </row>
    <row r="21" spans="1:31" x14ac:dyDescent="0.25">
      <c r="A21" s="173" t="s">
        <v>344</v>
      </c>
      <c r="B21" s="430">
        <v>476221</v>
      </c>
      <c r="C21" s="431">
        <v>424756.21</v>
      </c>
      <c r="D21" s="431">
        <v>413576.12</v>
      </c>
      <c r="E21" s="431">
        <v>401816</v>
      </c>
      <c r="F21" s="431">
        <v>391739.92</v>
      </c>
      <c r="G21" s="431">
        <f t="shared" si="6"/>
        <v>421621.85</v>
      </c>
      <c r="H21" s="431">
        <v>156.9</v>
      </c>
      <c r="I21" s="444">
        <f t="shared" si="7"/>
        <v>391583.01999999996</v>
      </c>
      <c r="J21" s="431">
        <f t="shared" si="0"/>
        <v>61948.433763999994</v>
      </c>
      <c r="K21" s="444">
        <f t="shared" si="1"/>
        <v>76162.897389999998</v>
      </c>
      <c r="L21" s="444">
        <f t="shared" si="2"/>
        <v>105453.30728599998</v>
      </c>
      <c r="M21" s="440">
        <v>630114.88</v>
      </c>
      <c r="N21" s="447">
        <v>636</v>
      </c>
      <c r="O21" s="429">
        <v>223.42</v>
      </c>
      <c r="P21" s="429">
        <f t="shared" si="8"/>
        <v>223.42</v>
      </c>
      <c r="Q21" s="446">
        <f t="shared" si="12"/>
        <v>111.71</v>
      </c>
      <c r="R21" s="508">
        <f t="shared" si="3"/>
        <v>5073789.6000000006</v>
      </c>
      <c r="S21" s="509">
        <f t="shared" si="4"/>
        <v>7708700.7899999991</v>
      </c>
      <c r="T21" s="472">
        <f t="shared" si="9"/>
        <v>576567</v>
      </c>
      <c r="U21" s="502">
        <v>3153.6</v>
      </c>
      <c r="V21" s="503" t="s">
        <v>1008</v>
      </c>
      <c r="W21" s="504">
        <v>2242.7352000000001</v>
      </c>
      <c r="X21" s="505">
        <f t="shared" si="5"/>
        <v>910.86479999999983</v>
      </c>
      <c r="Y21" s="428"/>
      <c r="Z21" s="429">
        <f>WWTP!$K17</f>
        <v>50.423300000000005</v>
      </c>
      <c r="AA21" s="429">
        <v>9700</v>
      </c>
      <c r="AB21" s="695">
        <f t="shared" si="10"/>
        <v>178.52369365000004</v>
      </c>
      <c r="AC21" s="700">
        <v>9555.2640039999987</v>
      </c>
      <c r="AD21" s="701">
        <v>9552.287766999998</v>
      </c>
      <c r="AE21" s="702">
        <f t="shared" si="11"/>
        <v>2.976237000000765</v>
      </c>
    </row>
    <row r="22" spans="1:31" x14ac:dyDescent="0.25">
      <c r="A22" s="173" t="s">
        <v>345</v>
      </c>
      <c r="B22" s="430">
        <v>406334</v>
      </c>
      <c r="C22" s="431">
        <v>418820.2</v>
      </c>
      <c r="D22" s="432">
        <v>402296.89</v>
      </c>
      <c r="E22" s="431">
        <v>386457</v>
      </c>
      <c r="F22" s="431">
        <v>411253.1</v>
      </c>
      <c r="G22" s="431">
        <f t="shared" si="6"/>
        <v>405032.23800000001</v>
      </c>
      <c r="H22" s="431">
        <v>75330.5</v>
      </c>
      <c r="I22" s="444">
        <f t="shared" si="7"/>
        <v>335922.6</v>
      </c>
      <c r="J22" s="431">
        <f t="shared" si="0"/>
        <v>53142.955320000001</v>
      </c>
      <c r="K22" s="444">
        <f t="shared" si="1"/>
        <v>65336.945699999997</v>
      </c>
      <c r="L22" s="444">
        <f t="shared" si="2"/>
        <v>90463.956179999994</v>
      </c>
      <c r="M22" s="440">
        <v>633403.22</v>
      </c>
      <c r="N22" s="447">
        <v>185</v>
      </c>
      <c r="O22" s="429">
        <v>70.396000000000001</v>
      </c>
      <c r="P22" s="429">
        <f t="shared" si="8"/>
        <v>70.396000000000001</v>
      </c>
      <c r="Q22" s="446">
        <f t="shared" si="12"/>
        <v>35.198</v>
      </c>
      <c r="R22" s="508">
        <f t="shared" si="3"/>
        <v>4410788.8000000007</v>
      </c>
      <c r="S22" s="509">
        <f t="shared" si="4"/>
        <v>6701391.6199999992</v>
      </c>
      <c r="T22" s="472">
        <f t="shared" si="9"/>
        <v>501226</v>
      </c>
      <c r="U22" s="502">
        <v>0</v>
      </c>
      <c r="V22" s="503" t="s">
        <v>1010</v>
      </c>
      <c r="W22" s="504">
        <v>0</v>
      </c>
      <c r="X22" s="505">
        <f t="shared" si="5"/>
        <v>0</v>
      </c>
      <c r="Y22" s="428"/>
      <c r="Z22" s="429">
        <f>WWTP!$K18</f>
        <v>7.9916999999999998</v>
      </c>
      <c r="AA22" s="429">
        <v>9700</v>
      </c>
      <c r="AB22" s="695">
        <f t="shared" si="10"/>
        <v>28.294613850000001</v>
      </c>
      <c r="AC22" s="700">
        <v>2707.8245149999998</v>
      </c>
      <c r="AD22" s="701">
        <v>958.67900699999996</v>
      </c>
      <c r="AE22" s="702">
        <f t="shared" si="11"/>
        <v>1749.1455079999998</v>
      </c>
    </row>
    <row r="23" spans="1:31" x14ac:dyDescent="0.25">
      <c r="A23" s="173" t="s">
        <v>346</v>
      </c>
      <c r="B23" s="430">
        <v>34323</v>
      </c>
      <c r="C23" s="431">
        <v>40592.1</v>
      </c>
      <c r="D23" s="431">
        <v>41176.410000000003</v>
      </c>
      <c r="E23" s="431">
        <v>39990</v>
      </c>
      <c r="F23" s="431">
        <v>40153.760000000002</v>
      </c>
      <c r="G23" s="431">
        <f t="shared" si="6"/>
        <v>39247.054000000004</v>
      </c>
      <c r="H23" s="431">
        <v>113.7</v>
      </c>
      <c r="I23" s="444">
        <f t="shared" si="7"/>
        <v>40040.060000000005</v>
      </c>
      <c r="J23" s="431">
        <f t="shared" si="0"/>
        <v>6334.3374920000015</v>
      </c>
      <c r="K23" s="444">
        <f t="shared" si="1"/>
        <v>7787.7916700000014</v>
      </c>
      <c r="L23" s="444">
        <f t="shared" si="2"/>
        <v>10782.788158000001</v>
      </c>
      <c r="M23" s="440">
        <v>66914.11</v>
      </c>
      <c r="N23" s="447">
        <v>338</v>
      </c>
      <c r="O23" s="429">
        <v>64.085999999999999</v>
      </c>
      <c r="P23" s="429">
        <f t="shared" si="8"/>
        <v>64.085999999999999</v>
      </c>
      <c r="Q23" s="446">
        <f t="shared" si="12"/>
        <v>32.042999999999999</v>
      </c>
      <c r="R23" s="508">
        <f t="shared" si="3"/>
        <v>581530.4</v>
      </c>
      <c r="S23" s="509">
        <f t="shared" si="4"/>
        <v>883529.71</v>
      </c>
      <c r="T23" s="472">
        <f t="shared" si="9"/>
        <v>66083</v>
      </c>
      <c r="U23" s="502">
        <v>660.768552</v>
      </c>
      <c r="V23" s="503" t="s">
        <v>1011</v>
      </c>
      <c r="W23" s="504">
        <v>351.62639999999999</v>
      </c>
      <c r="X23" s="505">
        <f t="shared" si="5"/>
        <v>309.14215200000001</v>
      </c>
      <c r="Y23" s="428"/>
      <c r="Z23" s="429">
        <f>WWTP!$K19</f>
        <v>0</v>
      </c>
      <c r="AA23" s="429">
        <v>9700</v>
      </c>
      <c r="AB23" s="695">
        <f t="shared" si="10"/>
        <v>0</v>
      </c>
      <c r="AC23" s="700">
        <v>948.75821699999995</v>
      </c>
      <c r="AD23" s="701">
        <v>655.87444999999991</v>
      </c>
      <c r="AE23" s="702">
        <f t="shared" si="11"/>
        <v>292.88376700000003</v>
      </c>
    </row>
    <row r="24" spans="1:31" x14ac:dyDescent="0.25">
      <c r="A24" s="173" t="s">
        <v>347</v>
      </c>
      <c r="B24" s="430">
        <v>280603</v>
      </c>
      <c r="C24" s="431">
        <v>264848.87</v>
      </c>
      <c r="D24" s="431">
        <v>237009.82</v>
      </c>
      <c r="E24" s="431">
        <v>239451</v>
      </c>
      <c r="F24" s="431">
        <v>246392.77</v>
      </c>
      <c r="G24" s="431">
        <f t="shared" si="6"/>
        <v>253661.092</v>
      </c>
      <c r="H24" s="431">
        <v>46828.9</v>
      </c>
      <c r="I24" s="444">
        <f t="shared" si="7"/>
        <v>199563.87</v>
      </c>
      <c r="J24" s="431">
        <f t="shared" si="0"/>
        <v>31571.004234</v>
      </c>
      <c r="K24" s="444">
        <f t="shared" si="1"/>
        <v>38815.172715000001</v>
      </c>
      <c r="L24" s="444">
        <f t="shared" si="2"/>
        <v>53742.550190999995</v>
      </c>
      <c r="M24" s="440">
        <v>351586.53</v>
      </c>
      <c r="N24" s="447">
        <v>305</v>
      </c>
      <c r="O24" s="429">
        <v>35.904000000000003</v>
      </c>
      <c r="P24" s="429">
        <f t="shared" si="8"/>
        <v>35.904000000000003</v>
      </c>
      <c r="Q24" s="446">
        <f t="shared" si="12"/>
        <v>17.952000000000002</v>
      </c>
      <c r="R24" s="508">
        <f t="shared" si="3"/>
        <v>2846307.2</v>
      </c>
      <c r="S24" s="509">
        <f t="shared" si="4"/>
        <v>4324446.2799999993</v>
      </c>
      <c r="T24" s="472">
        <f t="shared" si="9"/>
        <v>323444</v>
      </c>
      <c r="U24" s="502">
        <v>0</v>
      </c>
      <c r="V24" s="503" t="s">
        <v>1010</v>
      </c>
      <c r="W24" s="504">
        <v>0</v>
      </c>
      <c r="X24" s="505">
        <f t="shared" si="5"/>
        <v>0</v>
      </c>
      <c r="Y24" s="428"/>
      <c r="Z24" s="429">
        <f>WWTP!$K20</f>
        <v>19.635000000000002</v>
      </c>
      <c r="AA24" s="429">
        <v>9700</v>
      </c>
      <c r="AB24" s="695">
        <f t="shared" si="10"/>
        <v>69.517717500000018</v>
      </c>
      <c r="AC24" s="700">
        <v>6535.265296999999</v>
      </c>
      <c r="AD24" s="701">
        <v>604.50680399999987</v>
      </c>
      <c r="AE24" s="702">
        <f t="shared" si="11"/>
        <v>5930.7584929999994</v>
      </c>
    </row>
    <row r="25" spans="1:31" x14ac:dyDescent="0.25">
      <c r="A25" s="173" t="s">
        <v>348</v>
      </c>
      <c r="B25" s="430">
        <v>94967</v>
      </c>
      <c r="C25" s="431">
        <v>85711</v>
      </c>
      <c r="D25" s="431">
        <v>83595.929999999993</v>
      </c>
      <c r="E25" s="431">
        <v>78899</v>
      </c>
      <c r="F25" s="431">
        <v>78280.75</v>
      </c>
      <c r="G25" s="431">
        <f t="shared" si="6"/>
        <v>84290.736000000004</v>
      </c>
      <c r="H25" s="431">
        <v>2975.8</v>
      </c>
      <c r="I25" s="444">
        <f t="shared" si="7"/>
        <v>75304.95</v>
      </c>
      <c r="J25" s="431">
        <f t="shared" si="0"/>
        <v>11913.24309</v>
      </c>
      <c r="K25" s="444">
        <f t="shared" si="1"/>
        <v>14646.812775</v>
      </c>
      <c r="L25" s="444">
        <f t="shared" si="2"/>
        <v>20279.623034999997</v>
      </c>
      <c r="M25" s="440">
        <v>113829.62</v>
      </c>
      <c r="N25" s="447">
        <v>521</v>
      </c>
      <c r="O25" s="429">
        <v>179.09200000000001</v>
      </c>
      <c r="P25" s="429">
        <f t="shared" si="8"/>
        <v>179.09200000000001</v>
      </c>
      <c r="Q25" s="446">
        <f t="shared" si="12"/>
        <v>89.546000000000006</v>
      </c>
      <c r="R25" s="508">
        <f t="shared" si="3"/>
        <v>1313532</v>
      </c>
      <c r="S25" s="509">
        <f t="shared" si="4"/>
        <v>1995673.0499999998</v>
      </c>
      <c r="T25" s="472">
        <f t="shared" si="9"/>
        <v>149265</v>
      </c>
      <c r="U25" s="502">
        <v>306.94063244064165</v>
      </c>
      <c r="V25" s="503" t="s">
        <v>1008</v>
      </c>
      <c r="W25" s="504">
        <v>289.17588932806325</v>
      </c>
      <c r="X25" s="505">
        <f t="shared" si="5"/>
        <v>17.764743112578401</v>
      </c>
      <c r="Y25" s="428"/>
      <c r="Z25" s="429">
        <f>WWTP!$K21</f>
        <v>0</v>
      </c>
      <c r="AA25" s="429">
        <v>9700</v>
      </c>
      <c r="AB25" s="695">
        <f t="shared" si="10"/>
        <v>0</v>
      </c>
      <c r="AC25" s="700">
        <v>1134.8281449999999</v>
      </c>
      <c r="AD25" s="701">
        <v>924.83808999999997</v>
      </c>
      <c r="AE25" s="702">
        <f t="shared" si="11"/>
        <v>209.99005499999998</v>
      </c>
    </row>
    <row r="26" spans="1:31" x14ac:dyDescent="0.25">
      <c r="A26" s="173" t="s">
        <v>349</v>
      </c>
      <c r="B26" s="430">
        <v>415457</v>
      </c>
      <c r="C26" s="431">
        <v>395389.69</v>
      </c>
      <c r="D26" s="431">
        <v>367225.46</v>
      </c>
      <c r="E26" s="431">
        <v>347143</v>
      </c>
      <c r="F26" s="431">
        <v>348418.05</v>
      </c>
      <c r="G26" s="431">
        <f t="shared" si="6"/>
        <v>374726.64</v>
      </c>
      <c r="H26" s="431">
        <v>319855</v>
      </c>
      <c r="I26" s="444">
        <f t="shared" si="7"/>
        <v>28563.049999999988</v>
      </c>
      <c r="J26" s="431">
        <f t="shared" si="0"/>
        <v>4518.674509999998</v>
      </c>
      <c r="K26" s="444">
        <f t="shared" si="1"/>
        <v>5555.5132249999979</v>
      </c>
      <c r="L26" s="444">
        <f t="shared" si="2"/>
        <v>7692.0293649999967</v>
      </c>
      <c r="M26" s="440">
        <v>512500.13</v>
      </c>
      <c r="N26" s="447">
        <v>103</v>
      </c>
      <c r="O26" s="429">
        <v>0</v>
      </c>
      <c r="P26" s="429">
        <f t="shared" si="8"/>
        <v>0</v>
      </c>
      <c r="Q26" s="446">
        <f t="shared" si="12"/>
        <v>0</v>
      </c>
      <c r="R26" s="508">
        <f t="shared" si="3"/>
        <v>4721191.2</v>
      </c>
      <c r="S26" s="509">
        <f t="shared" si="4"/>
        <v>7172991.6299999999</v>
      </c>
      <c r="T26" s="472">
        <f t="shared" si="9"/>
        <v>536499</v>
      </c>
      <c r="U26" s="502">
        <v>0</v>
      </c>
      <c r="V26" s="503" t="s">
        <v>1010</v>
      </c>
      <c r="W26" s="504">
        <v>0</v>
      </c>
      <c r="X26" s="505">
        <f t="shared" si="5"/>
        <v>0</v>
      </c>
      <c r="Y26" s="428"/>
      <c r="Z26" s="429">
        <f>WWTP!$K22</f>
        <v>103.05600000000001</v>
      </c>
      <c r="AA26" s="429">
        <v>9700</v>
      </c>
      <c r="AB26" s="695">
        <f t="shared" si="10"/>
        <v>364.86976800000002</v>
      </c>
      <c r="AC26" s="700">
        <v>13020.816412999999</v>
      </c>
      <c r="AD26" s="701">
        <v>11936.033142</v>
      </c>
      <c r="AE26" s="702">
        <f t="shared" si="11"/>
        <v>1084.7832709999984</v>
      </c>
    </row>
    <row r="27" spans="1:31" ht="13.8" thickBot="1" x14ac:dyDescent="0.3">
      <c r="A27" s="174" t="s">
        <v>350</v>
      </c>
      <c r="B27" s="433">
        <v>77753</v>
      </c>
      <c r="C27" s="434">
        <v>66930.820000000007</v>
      </c>
      <c r="D27" s="434">
        <v>67791.8</v>
      </c>
      <c r="E27" s="434">
        <v>65935</v>
      </c>
      <c r="F27" s="434">
        <v>66483.95</v>
      </c>
      <c r="G27" s="434">
        <f t="shared" si="6"/>
        <v>68978.914000000004</v>
      </c>
      <c r="H27" s="434">
        <v>51546.8</v>
      </c>
      <c r="I27" s="445">
        <f t="shared" si="7"/>
        <v>14937.149999999994</v>
      </c>
      <c r="J27" s="434">
        <f t="shared" si="0"/>
        <v>2363.0571299999992</v>
      </c>
      <c r="K27" s="476">
        <f t="shared" si="1"/>
        <v>2905.275674999999</v>
      </c>
      <c r="L27" s="476">
        <f t="shared" si="2"/>
        <v>4022.574494999998</v>
      </c>
      <c r="M27" s="441">
        <v>97843.9</v>
      </c>
      <c r="N27" s="448">
        <v>358</v>
      </c>
      <c r="O27" s="449">
        <v>107.679</v>
      </c>
      <c r="P27" s="449">
        <f t="shared" si="8"/>
        <v>107.679</v>
      </c>
      <c r="Q27" s="450">
        <f t="shared" si="12"/>
        <v>53.839500000000001</v>
      </c>
      <c r="R27" s="510">
        <f t="shared" si="3"/>
        <v>956489.60000000009</v>
      </c>
      <c r="S27" s="511">
        <f t="shared" si="4"/>
        <v>1453212.0399999998</v>
      </c>
      <c r="T27" s="473">
        <f t="shared" si="9"/>
        <v>108692</v>
      </c>
      <c r="U27" s="683">
        <f>W27+X27</f>
        <v>276.52688999999998</v>
      </c>
      <c r="V27" s="666" t="s">
        <v>1008</v>
      </c>
      <c r="W27" s="684">
        <v>182.89423300000001</v>
      </c>
      <c r="X27" s="667">
        <v>93.632656999999995</v>
      </c>
      <c r="Y27" s="633"/>
      <c r="Z27" s="449">
        <f>WWTP!$K23</f>
        <v>2.2200000000000002</v>
      </c>
      <c r="AA27" s="449">
        <v>9700</v>
      </c>
      <c r="AB27" s="696">
        <f t="shared" si="10"/>
        <v>7.8599100000000011</v>
      </c>
      <c r="AC27" s="703">
        <v>803.14306599999998</v>
      </c>
      <c r="AD27" s="704">
        <v>647.05596999999989</v>
      </c>
      <c r="AE27" s="705">
        <f t="shared" si="11"/>
        <v>156.08709600000009</v>
      </c>
    </row>
    <row r="28" spans="1:31" s="80" customFormat="1" ht="14.4" thickTop="1" thickBot="1" x14ac:dyDescent="0.3">
      <c r="A28" s="175" t="s">
        <v>351</v>
      </c>
      <c r="B28" s="451">
        <f t="shared" ref="B28:F28" si="13">SUM(B7:B27)</f>
        <v>7106688</v>
      </c>
      <c r="C28" s="443">
        <f t="shared" si="13"/>
        <v>6687780.4900000002</v>
      </c>
      <c r="D28" s="443">
        <f t="shared" si="13"/>
        <v>6316826.0200000005</v>
      </c>
      <c r="E28" s="443">
        <f t="shared" si="13"/>
        <v>6070242</v>
      </c>
      <c r="F28" s="443">
        <f t="shared" si="13"/>
        <v>5917467.6499999985</v>
      </c>
      <c r="G28" s="443">
        <f>SUM(G7:G27)</f>
        <v>6419800.8319999985</v>
      </c>
      <c r="H28" s="443">
        <f t="shared" ref="H28:T28" si="14">SUM(H7:H27)</f>
        <v>1463537.1</v>
      </c>
      <c r="I28" s="443">
        <f t="shared" si="14"/>
        <v>4453930.55</v>
      </c>
      <c r="J28" s="443">
        <f>SUM(J7:J27)</f>
        <v>704611.81300999993</v>
      </c>
      <c r="K28" s="443">
        <f>SUM(K7:K27)</f>
        <v>866289.49197500001</v>
      </c>
      <c r="L28" s="443">
        <f>SUM(L7:L27)</f>
        <v>1199443.4971150004</v>
      </c>
      <c r="M28" s="442">
        <f>SUM(M7:M27)</f>
        <v>9869265.540000001</v>
      </c>
      <c r="N28" s="451">
        <f t="shared" si="14"/>
        <v>7418</v>
      </c>
      <c r="O28" s="452">
        <f>SUM(O7:O27)</f>
        <v>1832.8520000000003</v>
      </c>
      <c r="P28" s="452">
        <f>SUM(P7:P27)</f>
        <v>1832.8520000000003</v>
      </c>
      <c r="Q28" s="453">
        <f t="shared" si="14"/>
        <v>916.42600000000016</v>
      </c>
      <c r="R28" s="512">
        <f t="shared" si="14"/>
        <v>77368667.200000003</v>
      </c>
      <c r="S28" s="513">
        <f t="shared" si="14"/>
        <v>117547622.78000002</v>
      </c>
      <c r="T28" s="513">
        <f t="shared" si="14"/>
        <v>8791894</v>
      </c>
      <c r="U28" s="646">
        <f>SUM(U7:U27)</f>
        <v>21516.314404803205</v>
      </c>
      <c r="V28" s="647"/>
      <c r="W28" s="648">
        <f>SUM(W7:W27)</f>
        <v>11321.740941328062</v>
      </c>
      <c r="X28" s="649">
        <f>U28-W28</f>
        <v>10194.573463475142</v>
      </c>
      <c r="Y28" s="632"/>
      <c r="Z28" s="632">
        <f>SUM(Z7:Z27)</f>
        <v>963.49930000000006</v>
      </c>
      <c r="AA28" s="452"/>
      <c r="AB28" s="632">
        <f>SUM(AB7:AB27)</f>
        <v>3411.2692716500001</v>
      </c>
      <c r="AC28" s="706">
        <f>SUM(AC7:AC27)</f>
        <v>248694.14325799994</v>
      </c>
      <c r="AD28" s="707">
        <f>SUM(AD7:AD27)</f>
        <v>121523.83525700001</v>
      </c>
      <c r="AE28" s="708">
        <f>SUM(AE7:AE27)</f>
        <v>127170.30800100001</v>
      </c>
    </row>
    <row r="29" spans="1:31" x14ac:dyDescent="0.25">
      <c r="A29" s="80"/>
      <c r="W29" s="264"/>
      <c r="Y29" t="s">
        <v>154</v>
      </c>
    </row>
    <row r="30" spans="1:31" x14ac:dyDescent="0.25">
      <c r="A30" s="80"/>
      <c r="B30" s="565" t="s">
        <v>1033</v>
      </c>
      <c r="W30" s="264"/>
    </row>
    <row r="31" spans="1:31" x14ac:dyDescent="0.25">
      <c r="A31" s="80"/>
      <c r="B31" s="565" t="s">
        <v>1025</v>
      </c>
      <c r="W31" s="264"/>
    </row>
    <row r="32" spans="1:31" x14ac:dyDescent="0.25">
      <c r="A32" s="80"/>
      <c r="B32" s="373" t="s">
        <v>1032</v>
      </c>
      <c r="W32" s="264"/>
    </row>
    <row r="33" spans="1:27" x14ac:dyDescent="0.25">
      <c r="A33" s="80"/>
      <c r="B33" s="373" t="s">
        <v>1208</v>
      </c>
      <c r="W33" s="264"/>
    </row>
    <row r="34" spans="1:27" x14ac:dyDescent="0.25">
      <c r="A34" s="80"/>
      <c r="B34" s="384"/>
      <c r="W34" s="264"/>
    </row>
    <row r="35" spans="1:27" ht="13.8" thickBot="1" x14ac:dyDescent="0.3">
      <c r="A35" s="80" t="s">
        <v>148</v>
      </c>
      <c r="H35" s="475"/>
    </row>
    <row r="36" spans="1:27" ht="13.5" customHeight="1" thickBot="1" x14ac:dyDescent="0.3">
      <c r="A36" s="80"/>
      <c r="H36" s="51"/>
      <c r="I36" s="629"/>
      <c r="J36" s="629"/>
      <c r="K36" s="629"/>
      <c r="L36" s="629"/>
      <c r="W36" s="272" t="s">
        <v>612</v>
      </c>
      <c r="X36" s="271"/>
      <c r="Y36" s="271"/>
      <c r="Z36" s="271"/>
      <c r="AA36" s="271"/>
    </row>
    <row r="37" spans="1:27" ht="28.5" customHeight="1" x14ac:dyDescent="0.3">
      <c r="A37" s="194" t="s">
        <v>272</v>
      </c>
      <c r="B37" s="188" t="s">
        <v>451</v>
      </c>
      <c r="C37" s="189" t="s">
        <v>450</v>
      </c>
      <c r="D37" t="s">
        <v>105</v>
      </c>
      <c r="H37" s="1132" t="s">
        <v>1058</v>
      </c>
      <c r="I37" s="1133"/>
      <c r="J37" s="1133"/>
      <c r="K37" s="1133"/>
      <c r="L37" s="1134"/>
      <c r="W37" s="469" t="s">
        <v>614</v>
      </c>
      <c r="X37" s="51"/>
      <c r="Y37" s="51"/>
      <c r="AA37" s="51"/>
    </row>
    <row r="38" spans="1:27" ht="14.25" customHeight="1" x14ac:dyDescent="0.25">
      <c r="A38" s="190" t="s">
        <v>1209</v>
      </c>
      <c r="B38" s="470">
        <v>65.3</v>
      </c>
      <c r="C38" s="436">
        <v>56</v>
      </c>
      <c r="D38" s="57" t="s">
        <v>591</v>
      </c>
      <c r="G38" s="3"/>
      <c r="H38" s="609"/>
      <c r="I38" s="130" t="s">
        <v>1057</v>
      </c>
      <c r="J38" s="1" t="s">
        <v>1053</v>
      </c>
      <c r="K38" s="1" t="s">
        <v>1054</v>
      </c>
      <c r="L38" s="96" t="s">
        <v>1055</v>
      </c>
      <c r="N38" s="3"/>
      <c r="O38" s="3"/>
      <c r="Q38" s="3"/>
      <c r="V38" s="51"/>
      <c r="W38" s="76" t="s">
        <v>613</v>
      </c>
      <c r="Y38" s="51"/>
    </row>
    <row r="39" spans="1:27" ht="15.6" x14ac:dyDescent="0.25">
      <c r="A39" s="190" t="s">
        <v>1210</v>
      </c>
      <c r="B39" s="470">
        <v>27.3</v>
      </c>
      <c r="C39" s="436">
        <v>56</v>
      </c>
      <c r="D39" s="384" t="s">
        <v>1023</v>
      </c>
      <c r="E39" s="57"/>
      <c r="G39" s="3"/>
      <c r="H39" s="609" t="s">
        <v>462</v>
      </c>
      <c r="I39" s="623">
        <v>1</v>
      </c>
      <c r="J39" s="425">
        <v>5917467.6499999985</v>
      </c>
      <c r="K39" s="425">
        <v>1463537.1</v>
      </c>
      <c r="L39" s="624">
        <v>4453930.55</v>
      </c>
      <c r="N39" s="3"/>
      <c r="O39" s="3"/>
      <c r="Q39" s="3"/>
    </row>
    <row r="40" spans="1:27" x14ac:dyDescent="0.25">
      <c r="A40" s="190" t="s">
        <v>521</v>
      </c>
      <c r="B40" s="470">
        <v>125</v>
      </c>
      <c r="C40" s="436">
        <v>56</v>
      </c>
      <c r="D40" s="3"/>
      <c r="E40" s="353"/>
      <c r="F40" s="353"/>
      <c r="G40" s="3"/>
      <c r="H40" s="610"/>
      <c r="I40" s="611"/>
      <c r="J40" s="612"/>
      <c r="K40" s="612"/>
      <c r="L40" s="613"/>
      <c r="N40" s="3"/>
      <c r="O40" s="599"/>
      <c r="Q40" s="599"/>
      <c r="R40" s="57"/>
      <c r="S40" s="57"/>
    </row>
    <row r="41" spans="1:27" ht="15.6" x14ac:dyDescent="0.25">
      <c r="A41" s="190" t="s">
        <v>525</v>
      </c>
      <c r="B41" s="470">
        <v>32</v>
      </c>
      <c r="C41" s="436">
        <v>60</v>
      </c>
      <c r="D41" s="474"/>
      <c r="E41" s="353"/>
      <c r="F41" s="353"/>
      <c r="G41" s="3"/>
      <c r="H41" s="497" t="s">
        <v>1212</v>
      </c>
      <c r="I41" s="623">
        <v>0.15820000000000001</v>
      </c>
      <c r="J41" s="425">
        <f>J$39*$I$41</f>
        <v>936143.38222999976</v>
      </c>
      <c r="K41" s="425">
        <f>K$39*$I$41</f>
        <v>231531.56922000003</v>
      </c>
      <c r="L41" s="624">
        <f>L$39*$I$41</f>
        <v>704611.81301000004</v>
      </c>
      <c r="N41" s="356"/>
      <c r="O41" s="356"/>
      <c r="Q41" s="356"/>
      <c r="R41" s="57"/>
      <c r="S41" s="57"/>
    </row>
    <row r="42" spans="1:27" ht="16.2" thickBot="1" x14ac:dyDescent="0.3">
      <c r="A42" s="193" t="s">
        <v>522</v>
      </c>
      <c r="B42" s="471">
        <v>54</v>
      </c>
      <c r="C42" s="437">
        <v>60</v>
      </c>
      <c r="D42" s="474"/>
      <c r="E42" s="353"/>
      <c r="F42" s="353"/>
      <c r="G42" s="3"/>
      <c r="H42" s="497" t="s">
        <v>1213</v>
      </c>
      <c r="I42" s="623">
        <v>0.19450000000000001</v>
      </c>
      <c r="J42" s="425">
        <f>J$39*$I$42</f>
        <v>1150947.4579249998</v>
      </c>
      <c r="K42" s="425">
        <f>K$39*$I$42</f>
        <v>284657.96595000004</v>
      </c>
      <c r="L42" s="624">
        <f>L$39*$I$42</f>
        <v>866289.49197500001</v>
      </c>
      <c r="N42" s="356"/>
      <c r="O42" s="356"/>
      <c r="Q42" s="356"/>
    </row>
    <row r="43" spans="1:27" ht="13.8" thickBot="1" x14ac:dyDescent="0.3">
      <c r="A43" s="564" t="s">
        <v>1211</v>
      </c>
      <c r="D43" s="560"/>
      <c r="E43" s="353"/>
      <c r="F43" s="353"/>
      <c r="G43" s="3"/>
      <c r="H43" s="497" t="s">
        <v>1056</v>
      </c>
      <c r="I43" s="623">
        <v>0.26929999999999998</v>
      </c>
      <c r="J43" s="425">
        <f>J$39*$I$43</f>
        <v>1593574.0381449994</v>
      </c>
      <c r="K43" s="425">
        <f>K$39*$I$43</f>
        <v>394130.54103000002</v>
      </c>
      <c r="L43" s="624">
        <f>L$39*$I$43</f>
        <v>1199443.4971149999</v>
      </c>
      <c r="N43" s="356"/>
      <c r="O43" s="356"/>
      <c r="Q43" s="356"/>
    </row>
    <row r="44" spans="1:27" ht="16.2" thickBot="1" x14ac:dyDescent="0.3">
      <c r="A44" s="194" t="s">
        <v>289</v>
      </c>
      <c r="B44" s="188" t="s">
        <v>290</v>
      </c>
      <c r="C44" s="189" t="s">
        <v>291</v>
      </c>
      <c r="D44" s="3"/>
      <c r="E44" s="353"/>
      <c r="F44" s="353"/>
      <c r="G44" s="3"/>
      <c r="H44" s="499" t="s">
        <v>1214</v>
      </c>
      <c r="I44" s="625">
        <f>SUM(I41:I43)</f>
        <v>0.622</v>
      </c>
      <c r="J44" s="626">
        <f>SUM(J41:J43)</f>
        <v>3680664.8782999991</v>
      </c>
      <c r="K44" s="626">
        <f>SUM(K41:K43)</f>
        <v>910320.07620000001</v>
      </c>
      <c r="L44" s="627">
        <f>SUM(L41:L43)</f>
        <v>2770344.8021</v>
      </c>
      <c r="N44" s="356"/>
      <c r="O44" s="356"/>
      <c r="Q44" s="356"/>
    </row>
    <row r="45" spans="1:27" x14ac:dyDescent="0.25">
      <c r="A45" s="197" t="s">
        <v>411</v>
      </c>
      <c r="B45" s="470">
        <v>4.8</v>
      </c>
      <c r="C45" s="436">
        <v>4.5</v>
      </c>
      <c r="D45" s="474" t="s">
        <v>617</v>
      </c>
      <c r="F45" s="30"/>
      <c r="G45" s="3"/>
      <c r="H45" s="615" t="s">
        <v>1215</v>
      </c>
      <c r="I45" s="31"/>
      <c r="J45" s="31"/>
      <c r="K45" s="31"/>
      <c r="L45" s="600"/>
      <c r="N45" s="356"/>
      <c r="O45" s="356"/>
      <c r="Q45" s="356"/>
    </row>
    <row r="46" spans="1:27" ht="13.8" thickBot="1" x14ac:dyDescent="0.3">
      <c r="A46" s="198" t="s">
        <v>288</v>
      </c>
      <c r="B46" s="471">
        <v>5</v>
      </c>
      <c r="C46" s="437">
        <v>4.46</v>
      </c>
      <c r="D46" s="3"/>
      <c r="E46" s="3"/>
      <c r="F46" s="3"/>
      <c r="G46" s="3"/>
      <c r="H46" s="373" t="s">
        <v>1216</v>
      </c>
      <c r="I46" s="31"/>
      <c r="J46" s="31"/>
      <c r="K46" s="31"/>
      <c r="L46" s="600"/>
      <c r="M46" s="3"/>
      <c r="N46" s="3"/>
      <c r="O46" s="3"/>
      <c r="Q46" s="3"/>
    </row>
    <row r="47" spans="1:27" ht="13.8" thickBot="1" x14ac:dyDescent="0.3">
      <c r="C47" s="3"/>
      <c r="D47" s="29"/>
      <c r="E47" s="29"/>
      <c r="F47" s="29"/>
      <c r="G47" s="29"/>
      <c r="H47" s="614" t="s">
        <v>1217</v>
      </c>
      <c r="I47" s="31"/>
      <c r="J47" s="31"/>
      <c r="K47" s="597"/>
      <c r="L47" s="3"/>
      <c r="M47" s="3"/>
      <c r="N47" s="3"/>
      <c r="O47" s="3"/>
      <c r="Q47" s="3"/>
    </row>
    <row r="48" spans="1:27" ht="28.5" customHeight="1" x14ac:dyDescent="0.25">
      <c r="A48" s="194" t="s">
        <v>526</v>
      </c>
      <c r="B48" s="189" t="s">
        <v>452</v>
      </c>
      <c r="C48" s="121"/>
      <c r="D48" s="3"/>
      <c r="E48" s="3"/>
      <c r="F48" s="3"/>
      <c r="G48" s="3"/>
      <c r="M48" s="3"/>
      <c r="N48" s="3"/>
      <c r="O48" s="3"/>
      <c r="Q48" s="3"/>
    </row>
    <row r="49" spans="1:17" x14ac:dyDescent="0.25">
      <c r="A49" s="190" t="s">
        <v>527</v>
      </c>
      <c r="B49" s="195">
        <v>1</v>
      </c>
      <c r="D49" s="59"/>
      <c r="E49" s="59"/>
      <c r="F49" s="59"/>
      <c r="G49" s="59"/>
      <c r="H49" s="356"/>
      <c r="I49" s="3"/>
      <c r="J49" s="3"/>
      <c r="K49" s="3"/>
      <c r="L49" s="3"/>
      <c r="M49" s="3"/>
      <c r="N49" s="3"/>
      <c r="O49" s="3"/>
      <c r="Q49" s="3"/>
    </row>
    <row r="50" spans="1:17" x14ac:dyDescent="0.25">
      <c r="A50" s="190" t="s">
        <v>520</v>
      </c>
      <c r="B50" s="195">
        <v>2.25</v>
      </c>
      <c r="D50" s="3"/>
      <c r="E50" s="3"/>
      <c r="F50" s="3"/>
      <c r="G50" s="3"/>
      <c r="H50" s="356"/>
      <c r="I50" s="31"/>
      <c r="J50" s="3"/>
      <c r="K50" s="31"/>
      <c r="L50" s="3"/>
      <c r="M50" s="3"/>
      <c r="N50" s="3"/>
      <c r="O50" s="3"/>
      <c r="Q50" s="3"/>
    </row>
    <row r="51" spans="1:17" x14ac:dyDescent="0.25">
      <c r="A51" s="190" t="s">
        <v>521</v>
      </c>
      <c r="B51" s="195">
        <v>2.5</v>
      </c>
      <c r="C51" s="372"/>
      <c r="D51" s="3"/>
      <c r="E51" s="3"/>
      <c r="F51" s="3"/>
      <c r="G51" s="438"/>
      <c r="H51" s="356"/>
      <c r="I51" s="304"/>
      <c r="J51" s="3"/>
      <c r="K51" s="598"/>
      <c r="L51" s="3"/>
      <c r="M51" s="3"/>
      <c r="N51" s="3"/>
      <c r="O51" s="3"/>
      <c r="Q51" s="3"/>
    </row>
    <row r="52" spans="1:17" x14ac:dyDescent="0.25">
      <c r="A52" s="190" t="s">
        <v>528</v>
      </c>
      <c r="B52" s="507">
        <v>16.399999999999999</v>
      </c>
      <c r="C52" s="372"/>
      <c r="D52" s="3"/>
      <c r="E52" s="3"/>
      <c r="F52" s="3"/>
      <c r="G52" s="3"/>
      <c r="H52" s="356"/>
      <c r="I52" s="304"/>
      <c r="J52" s="3"/>
      <c r="K52" s="3"/>
      <c r="L52" s="3"/>
      <c r="M52" s="3"/>
      <c r="N52" s="3"/>
      <c r="O52" s="3"/>
      <c r="Q52" s="3"/>
    </row>
    <row r="53" spans="1:17" x14ac:dyDescent="0.25">
      <c r="A53" s="190" t="s">
        <v>529</v>
      </c>
      <c r="B53" s="195">
        <v>3.2</v>
      </c>
      <c r="D53" s="3"/>
      <c r="E53" s="3"/>
      <c r="F53" s="3"/>
      <c r="G53" s="3"/>
      <c r="H53" s="356"/>
      <c r="I53" s="305"/>
      <c r="J53" s="304"/>
      <c r="K53" s="3"/>
      <c r="L53" s="3"/>
      <c r="M53" s="3"/>
      <c r="N53" s="3"/>
      <c r="O53" s="3"/>
      <c r="Q53" s="3"/>
    </row>
    <row r="54" spans="1:17" x14ac:dyDescent="0.25">
      <c r="A54" s="190" t="s">
        <v>530</v>
      </c>
      <c r="B54" s="195">
        <v>1.7</v>
      </c>
      <c r="D54" s="3"/>
      <c r="E54" s="3"/>
      <c r="F54" s="3"/>
      <c r="G54" s="3"/>
      <c r="H54" s="356"/>
      <c r="I54" s="3"/>
      <c r="J54" s="3"/>
      <c r="K54" s="3"/>
      <c r="L54" s="3"/>
      <c r="M54" s="3"/>
      <c r="N54" s="3"/>
      <c r="O54" s="3"/>
      <c r="Q54" s="3"/>
    </row>
    <row r="55" spans="1:17" ht="13.8" thickBot="1" x14ac:dyDescent="0.3">
      <c r="A55" s="193" t="s">
        <v>522</v>
      </c>
      <c r="B55" s="196">
        <v>1.75</v>
      </c>
      <c r="D55" s="3"/>
      <c r="E55" s="3"/>
      <c r="F55" s="3"/>
      <c r="G55" s="3"/>
      <c r="H55" s="356"/>
      <c r="I55" s="304"/>
      <c r="J55" s="3"/>
      <c r="K55" s="3"/>
      <c r="L55" s="3"/>
      <c r="M55" s="3"/>
      <c r="N55" s="3"/>
      <c r="O55" s="3"/>
      <c r="Q55" s="3"/>
    </row>
    <row r="56" spans="1:17" ht="13.8" thickBot="1" x14ac:dyDescent="0.3">
      <c r="D56" s="3"/>
      <c r="E56" s="3"/>
      <c r="F56" s="3"/>
      <c r="G56" s="3"/>
      <c r="H56" s="356"/>
      <c r="I56" s="304"/>
      <c r="J56" s="3"/>
      <c r="K56" s="3"/>
      <c r="L56" s="3"/>
      <c r="M56" s="3"/>
      <c r="N56" s="3"/>
      <c r="O56" s="3"/>
      <c r="Q56" s="3"/>
    </row>
    <row r="57" spans="1:17" ht="42.75" customHeight="1" x14ac:dyDescent="0.25">
      <c r="A57" s="187" t="s">
        <v>531</v>
      </c>
      <c r="B57" s="188" t="s">
        <v>532</v>
      </c>
      <c r="C57" s="188" t="s">
        <v>1219</v>
      </c>
      <c r="D57" s="188" t="s">
        <v>1220</v>
      </c>
      <c r="E57" s="189" t="s">
        <v>1221</v>
      </c>
      <c r="F57" s="59"/>
      <c r="G57" s="3"/>
      <c r="H57" s="356"/>
      <c r="I57" s="305"/>
      <c r="J57" s="3"/>
      <c r="K57" s="3"/>
      <c r="L57" s="3"/>
      <c r="M57" s="3"/>
      <c r="N57" s="3"/>
      <c r="O57" s="3"/>
      <c r="Q57" s="3"/>
    </row>
    <row r="58" spans="1:17" x14ac:dyDescent="0.25">
      <c r="A58" s="190" t="s">
        <v>535</v>
      </c>
      <c r="B58" s="23"/>
      <c r="C58" s="23"/>
      <c r="D58" s="14"/>
      <c r="E58" s="191"/>
      <c r="F58" s="3"/>
      <c r="G58" s="3"/>
      <c r="H58" s="356"/>
      <c r="I58" s="601"/>
      <c r="J58" s="1129"/>
      <c r="K58" s="1129"/>
      <c r="L58" s="1129"/>
      <c r="M58" s="3"/>
      <c r="N58" s="3"/>
      <c r="O58" s="3"/>
      <c r="Q58" s="3"/>
    </row>
    <row r="59" spans="1:17" x14ac:dyDescent="0.25">
      <c r="A59" s="192" t="s">
        <v>536</v>
      </c>
      <c r="B59" s="481">
        <v>650</v>
      </c>
      <c r="C59" s="481">
        <f>AVERAGE(106.2,49.1)*365</f>
        <v>28342.250000000004</v>
      </c>
      <c r="D59" s="537">
        <v>0.2</v>
      </c>
      <c r="E59" s="538">
        <v>4</v>
      </c>
      <c r="F59" s="29"/>
      <c r="G59" s="3"/>
      <c r="H59" s="33"/>
      <c r="I59" s="33"/>
      <c r="J59" s="1129"/>
      <c r="K59" s="1129"/>
      <c r="L59" s="1129"/>
      <c r="M59" s="3"/>
      <c r="N59" s="3"/>
      <c r="O59" s="3"/>
      <c r="Q59" s="3"/>
    </row>
    <row r="60" spans="1:17" x14ac:dyDescent="0.25">
      <c r="A60" s="192" t="s">
        <v>537</v>
      </c>
      <c r="B60" s="481">
        <v>1000</v>
      </c>
      <c r="C60" s="481">
        <f>92*365</f>
        <v>33580</v>
      </c>
      <c r="D60" s="537">
        <v>0.2</v>
      </c>
      <c r="E60" s="538">
        <v>4</v>
      </c>
      <c r="F60" s="29"/>
      <c r="G60" s="3"/>
      <c r="H60" s="33"/>
      <c r="I60" s="31"/>
      <c r="J60" s="31"/>
      <c r="K60" s="34"/>
      <c r="L60" s="3"/>
      <c r="M60" s="3"/>
      <c r="N60" s="3"/>
      <c r="O60" s="3"/>
      <c r="P60" s="3"/>
      <c r="Q60" s="3"/>
    </row>
    <row r="61" spans="1:17" x14ac:dyDescent="0.25">
      <c r="A61" s="190" t="s">
        <v>539</v>
      </c>
      <c r="B61" s="481"/>
      <c r="C61" s="481"/>
      <c r="D61" s="537"/>
      <c r="E61" s="538"/>
      <c r="F61" s="3"/>
      <c r="G61" s="3"/>
      <c r="H61" s="33"/>
      <c r="I61" s="33"/>
      <c r="J61" s="33"/>
      <c r="K61" s="34"/>
      <c r="L61" s="51"/>
    </row>
    <row r="62" spans="1:17" x14ac:dyDescent="0.25">
      <c r="A62" s="192" t="s">
        <v>540</v>
      </c>
      <c r="B62" s="481">
        <v>350</v>
      </c>
      <c r="C62" s="481">
        <f>80*365</f>
        <v>29200</v>
      </c>
      <c r="D62" s="537">
        <v>0.75</v>
      </c>
      <c r="E62" s="538">
        <v>5</v>
      </c>
      <c r="F62" s="29" t="s">
        <v>106</v>
      </c>
      <c r="G62" s="3"/>
      <c r="H62" s="33"/>
      <c r="I62" s="33"/>
      <c r="J62" s="33"/>
      <c r="K62" s="34"/>
      <c r="L62" s="51"/>
      <c r="M62" s="553"/>
      <c r="N62" s="556"/>
    </row>
    <row r="63" spans="1:17" x14ac:dyDescent="0.25">
      <c r="A63" s="192" t="s">
        <v>541</v>
      </c>
      <c r="B63" s="481">
        <v>950</v>
      </c>
      <c r="C63" s="481">
        <f>80*365</f>
        <v>29200</v>
      </c>
      <c r="D63" s="537">
        <v>0.5</v>
      </c>
      <c r="E63" s="538">
        <v>5</v>
      </c>
      <c r="F63" s="29" t="s">
        <v>107</v>
      </c>
      <c r="G63" s="3"/>
      <c r="H63" s="33"/>
      <c r="I63" s="33"/>
      <c r="J63" s="33"/>
      <c r="K63" s="34"/>
      <c r="L63" s="51"/>
      <c r="M63" s="553"/>
      <c r="N63" s="556"/>
    </row>
    <row r="64" spans="1:17" x14ac:dyDescent="0.25">
      <c r="A64" s="192" t="s">
        <v>542</v>
      </c>
      <c r="B64" s="481">
        <v>1400</v>
      </c>
      <c r="C64" s="481">
        <f>111*365</f>
        <v>40515</v>
      </c>
      <c r="D64" s="537">
        <v>0.75</v>
      </c>
      <c r="E64" s="538">
        <v>10</v>
      </c>
      <c r="F64" s="29" t="s">
        <v>108</v>
      </c>
      <c r="G64" s="32"/>
      <c r="H64" s="33"/>
      <c r="I64" s="33"/>
      <c r="J64" s="33"/>
      <c r="K64" s="34"/>
      <c r="L64" s="3"/>
      <c r="M64" s="553"/>
      <c r="N64" s="556"/>
    </row>
    <row r="65" spans="1:16" x14ac:dyDescent="0.25">
      <c r="A65" s="192" t="s">
        <v>543</v>
      </c>
      <c r="B65" s="481">
        <v>1450</v>
      </c>
      <c r="C65" s="481">
        <f>51*365</f>
        <v>18615</v>
      </c>
      <c r="D65" s="537">
        <v>0.5</v>
      </c>
      <c r="E65" s="538">
        <v>5</v>
      </c>
      <c r="F65" s="29"/>
      <c r="G65" s="3"/>
      <c r="H65" s="3"/>
      <c r="I65" s="3"/>
      <c r="J65" s="3"/>
      <c r="K65" s="60"/>
      <c r="L65" s="60"/>
      <c r="M65" s="552"/>
      <c r="N65" s="557"/>
      <c r="O65" s="3"/>
    </row>
    <row r="66" spans="1:16" x14ac:dyDescent="0.25">
      <c r="A66" s="190" t="s">
        <v>545</v>
      </c>
      <c r="B66" s="481">
        <v>1000</v>
      </c>
      <c r="C66" s="481">
        <f>55.5*365</f>
        <v>20257.5</v>
      </c>
      <c r="D66" s="537">
        <v>0.5</v>
      </c>
      <c r="E66" s="538">
        <v>15</v>
      </c>
      <c r="F66" s="3"/>
      <c r="G66" s="59"/>
      <c r="H66" s="59"/>
      <c r="I66" s="59"/>
      <c r="J66" s="59"/>
      <c r="K66" s="59"/>
      <c r="L66" s="59"/>
      <c r="M66" s="554"/>
      <c r="N66" s="558"/>
      <c r="O66" s="3"/>
    </row>
    <row r="67" spans="1:16" x14ac:dyDescent="0.25">
      <c r="A67" s="190" t="s">
        <v>546</v>
      </c>
      <c r="B67" s="481">
        <v>100</v>
      </c>
      <c r="C67" s="481">
        <f>41*365</f>
        <v>14965</v>
      </c>
      <c r="D67" s="537">
        <v>0.2</v>
      </c>
      <c r="E67" s="538">
        <v>1</v>
      </c>
      <c r="F67" s="628" t="s">
        <v>1004</v>
      </c>
      <c r="G67" s="3"/>
      <c r="H67" s="3"/>
      <c r="I67" s="3"/>
      <c r="J67" s="3"/>
      <c r="K67" s="31"/>
      <c r="L67" s="31"/>
      <c r="M67" s="555"/>
      <c r="N67" s="559"/>
      <c r="O67" s="3"/>
    </row>
    <row r="68" spans="1:16" x14ac:dyDescent="0.25">
      <c r="A68" s="190" t="s">
        <v>547</v>
      </c>
      <c r="B68" s="481">
        <v>100</v>
      </c>
      <c r="C68" s="481">
        <f>41*365</f>
        <v>14965</v>
      </c>
      <c r="D68" s="537">
        <v>0.2</v>
      </c>
      <c r="E68" s="538">
        <v>1</v>
      </c>
      <c r="F68" s="3"/>
      <c r="G68" s="29"/>
      <c r="H68" s="29"/>
      <c r="I68" s="29"/>
      <c r="J68" s="29"/>
      <c r="K68" s="3"/>
      <c r="L68" s="3"/>
      <c r="M68" s="474"/>
      <c r="N68" s="3"/>
      <c r="O68" s="3"/>
    </row>
    <row r="69" spans="1:16" x14ac:dyDescent="0.25">
      <c r="A69" s="190" t="s">
        <v>548</v>
      </c>
      <c r="B69" s="481"/>
      <c r="C69" s="481"/>
      <c r="D69" s="537"/>
      <c r="E69" s="538"/>
      <c r="F69" s="3"/>
      <c r="G69" s="29"/>
      <c r="H69" s="29"/>
      <c r="I69" s="29"/>
      <c r="J69" s="29"/>
      <c r="K69" s="3"/>
      <c r="L69" s="3"/>
      <c r="M69" s="3"/>
      <c r="N69" s="3"/>
      <c r="O69" s="3"/>
    </row>
    <row r="70" spans="1:16" x14ac:dyDescent="0.25">
      <c r="A70" s="192" t="s">
        <v>549</v>
      </c>
      <c r="B70" s="481">
        <v>150</v>
      </c>
      <c r="C70" s="481">
        <f>49*365</f>
        <v>17885</v>
      </c>
      <c r="D70" s="537">
        <v>0.5</v>
      </c>
      <c r="E70" s="538">
        <v>0</v>
      </c>
      <c r="F70" s="29"/>
      <c r="G70" s="3"/>
      <c r="H70" s="3"/>
      <c r="I70" s="3"/>
      <c r="J70" s="3"/>
      <c r="K70" s="31"/>
      <c r="L70" s="31"/>
      <c r="M70" s="31"/>
      <c r="N70" s="31"/>
      <c r="O70" s="3"/>
    </row>
    <row r="71" spans="1:16" x14ac:dyDescent="0.25">
      <c r="A71" s="192" t="s">
        <v>550</v>
      </c>
      <c r="B71" s="481">
        <v>400</v>
      </c>
      <c r="C71" s="481">
        <f>47*365</f>
        <v>17155</v>
      </c>
      <c r="D71" s="537">
        <v>0.5</v>
      </c>
      <c r="E71" s="538">
        <v>0</v>
      </c>
      <c r="F71" s="29"/>
      <c r="G71" s="29"/>
      <c r="H71" s="29"/>
      <c r="I71" s="29"/>
      <c r="J71" s="29"/>
      <c r="K71" s="3"/>
      <c r="L71" s="3"/>
      <c r="M71" s="3"/>
      <c r="N71" s="3"/>
      <c r="O71" s="3"/>
    </row>
    <row r="72" spans="1:16" x14ac:dyDescent="0.25">
      <c r="A72" s="190" t="s">
        <v>551</v>
      </c>
      <c r="B72" s="481">
        <v>5</v>
      </c>
      <c r="C72" s="481">
        <f>50*365</f>
        <v>18250</v>
      </c>
      <c r="D72" s="539">
        <v>0.75</v>
      </c>
      <c r="E72" s="538">
        <v>0</v>
      </c>
      <c r="F72" s="3"/>
      <c r="G72" s="29"/>
      <c r="H72" s="29"/>
      <c r="I72" s="29"/>
      <c r="J72" s="29"/>
      <c r="K72" s="3"/>
      <c r="L72" s="3"/>
      <c r="M72" s="3"/>
      <c r="N72" s="3"/>
      <c r="O72" s="3"/>
    </row>
    <row r="73" spans="1:16" ht="13.8" thickBot="1" x14ac:dyDescent="0.3">
      <c r="A73" s="193" t="s">
        <v>552</v>
      </c>
      <c r="B73" s="482">
        <v>20</v>
      </c>
      <c r="C73" s="482">
        <f>37*365</f>
        <v>13505</v>
      </c>
      <c r="D73" s="540">
        <v>0.75</v>
      </c>
      <c r="E73" s="541">
        <v>0.1</v>
      </c>
      <c r="F73" s="3"/>
      <c r="G73" s="29"/>
      <c r="H73" s="29"/>
      <c r="I73" s="29"/>
      <c r="J73" s="29"/>
      <c r="K73" s="3"/>
      <c r="L73" s="3"/>
      <c r="M73" s="3"/>
      <c r="N73" s="3"/>
      <c r="O73" s="3"/>
    </row>
    <row r="74" spans="1:16" x14ac:dyDescent="0.25">
      <c r="G74" s="29"/>
      <c r="H74" s="29"/>
      <c r="I74" s="29"/>
      <c r="J74" s="29"/>
      <c r="K74" s="3"/>
      <c r="L74" s="3"/>
      <c r="M74" s="3"/>
      <c r="N74" s="3"/>
      <c r="O74" s="3"/>
    </row>
    <row r="75" spans="1:16" ht="13.8" thickBot="1" x14ac:dyDescent="0.3">
      <c r="G75" s="29"/>
      <c r="H75" s="29"/>
      <c r="I75" s="29"/>
      <c r="J75" s="29"/>
      <c r="K75" s="3"/>
      <c r="L75" s="3"/>
      <c r="M75" s="3"/>
      <c r="N75" s="3"/>
      <c r="O75" s="3"/>
    </row>
    <row r="76" spans="1:16" x14ac:dyDescent="0.25">
      <c r="A76" s="181"/>
      <c r="B76" s="1130" t="s">
        <v>326</v>
      </c>
      <c r="C76" s="1130"/>
      <c r="D76" s="1130" t="s">
        <v>327</v>
      </c>
      <c r="E76" s="1131"/>
      <c r="G76" s="29"/>
      <c r="H76" s="29"/>
      <c r="I76" s="29"/>
      <c r="J76" s="29"/>
      <c r="K76" s="29"/>
      <c r="L76" s="3"/>
      <c r="M76" s="3"/>
      <c r="N76" s="3"/>
      <c r="O76" s="3"/>
      <c r="P76" s="3"/>
    </row>
    <row r="77" spans="1:16" ht="27" customHeight="1" x14ac:dyDescent="0.25">
      <c r="A77" s="182">
        <v>2.2000000000000002</v>
      </c>
      <c r="B77" s="82" t="s">
        <v>329</v>
      </c>
      <c r="C77" s="82" t="s">
        <v>330</v>
      </c>
      <c r="D77" s="435" t="s">
        <v>329</v>
      </c>
      <c r="E77" s="183" t="s">
        <v>330</v>
      </c>
      <c r="G77" s="29"/>
      <c r="H77" s="29"/>
      <c r="I77" s="29"/>
      <c r="J77" s="29"/>
      <c r="K77" s="29"/>
      <c r="L77" s="3"/>
      <c r="M77" s="3"/>
      <c r="N77" s="3"/>
      <c r="O77" s="3"/>
      <c r="P77" s="3"/>
    </row>
    <row r="78" spans="1:16" x14ac:dyDescent="0.25">
      <c r="A78" s="184" t="s">
        <v>332</v>
      </c>
      <c r="B78" s="840">
        <v>2843</v>
      </c>
      <c r="C78" s="840">
        <v>4.0199999999999996</v>
      </c>
      <c r="D78" s="840">
        <v>5750</v>
      </c>
      <c r="E78" s="841">
        <v>6.07</v>
      </c>
      <c r="F78" s="384" t="s">
        <v>1565</v>
      </c>
      <c r="G78" s="29"/>
      <c r="H78" s="29"/>
      <c r="I78" s="29"/>
      <c r="J78" s="29"/>
      <c r="K78" s="29"/>
      <c r="L78" s="3"/>
      <c r="M78" s="3"/>
      <c r="N78" s="3"/>
      <c r="O78" s="3"/>
      <c r="P78" s="3"/>
    </row>
    <row r="79" spans="1:16" ht="13.8" thickBot="1" x14ac:dyDescent="0.3">
      <c r="A79" s="185" t="s">
        <v>334</v>
      </c>
      <c r="B79" s="842">
        <f>ROUND(B78*$A$77,1)</f>
        <v>6254.6</v>
      </c>
      <c r="C79" s="842">
        <f>ROUND(C78*$A$77,1)</f>
        <v>8.8000000000000007</v>
      </c>
      <c r="D79" s="842">
        <f>ROUND(D78*$A$77,1)</f>
        <v>12650</v>
      </c>
      <c r="E79" s="843">
        <v>13.37</v>
      </c>
      <c r="G79" s="29"/>
      <c r="H79" s="29"/>
      <c r="I79" s="29"/>
      <c r="J79" s="29"/>
      <c r="K79" s="29"/>
      <c r="L79" s="3"/>
      <c r="M79" s="3"/>
      <c r="N79" s="3"/>
      <c r="O79" s="3"/>
      <c r="P79" s="3"/>
    </row>
    <row r="80" spans="1:16" ht="13.8" thickBot="1" x14ac:dyDescent="0.3">
      <c r="G80" s="29"/>
      <c r="H80" s="29"/>
      <c r="I80" s="29"/>
      <c r="J80" s="29"/>
      <c r="K80" s="29"/>
      <c r="L80" s="3"/>
      <c r="M80" s="3"/>
      <c r="N80" s="3"/>
      <c r="O80" s="3"/>
      <c r="P80" s="3"/>
    </row>
    <row r="81" spans="1:17" ht="42" customHeight="1" x14ac:dyDescent="0.25">
      <c r="A81" s="561" t="s">
        <v>1336</v>
      </c>
      <c r="B81" s="562" t="s">
        <v>1337</v>
      </c>
      <c r="C81" s="562" t="s">
        <v>592</v>
      </c>
      <c r="D81" s="562" t="s">
        <v>593</v>
      </c>
      <c r="E81" s="563" t="s">
        <v>594</v>
      </c>
      <c r="F81" s="852" t="s">
        <v>1344</v>
      </c>
      <c r="G81" s="29"/>
      <c r="H81" s="29"/>
      <c r="I81" s="29"/>
      <c r="J81" s="29"/>
      <c r="K81" s="29"/>
      <c r="L81" s="3"/>
      <c r="M81" s="3"/>
      <c r="N81" s="3"/>
      <c r="O81" s="3"/>
      <c r="P81" s="3"/>
    </row>
    <row r="82" spans="1:17" ht="15.6" x14ac:dyDescent="0.25">
      <c r="A82" s="497" t="s">
        <v>1333</v>
      </c>
      <c r="B82" s="847">
        <v>-1.3583279735530641E-4</v>
      </c>
      <c r="C82" s="847">
        <f>(1+B82)^5 - 1</f>
        <v>-6.7897950634820958E-4</v>
      </c>
      <c r="D82" s="847">
        <f>(1+B82)^10-1</f>
        <v>-1.3574979995264469E-3</v>
      </c>
      <c r="E82" s="848">
        <f>(1+B82)^15-1</f>
        <v>-2.0355557925529899E-3</v>
      </c>
      <c r="F82" s="373" t="s">
        <v>1218</v>
      </c>
      <c r="G82" s="29"/>
      <c r="H82" s="29"/>
      <c r="I82" s="29"/>
      <c r="J82" s="29"/>
      <c r="K82" s="29"/>
      <c r="L82" s="3"/>
      <c r="M82" s="3"/>
      <c r="N82" s="3"/>
      <c r="O82" s="3"/>
      <c r="P82" s="3"/>
    </row>
    <row r="83" spans="1:17" x14ac:dyDescent="0.25">
      <c r="A83" s="609" t="s">
        <v>1334</v>
      </c>
      <c r="B83" s="849">
        <v>9.8463969116557859E-3</v>
      </c>
      <c r="C83" s="847">
        <f t="shared" ref="C83:C84" si="15">(1+B83)^5 - 1</f>
        <v>5.0211093202914281E-2</v>
      </c>
      <c r="D83" s="847">
        <f t="shared" ref="D83:D84" si="16">(1+B83)^10-1</f>
        <v>0.10294334028646035</v>
      </c>
      <c r="E83" s="848">
        <f t="shared" ref="E83:E84" si="17">(1+B83)^15-1</f>
        <v>0.15832333114311758</v>
      </c>
      <c r="F83" s="615" t="s">
        <v>1024</v>
      </c>
      <c r="G83" s="29"/>
      <c r="H83" s="29"/>
      <c r="I83" s="29"/>
      <c r="J83" s="29"/>
      <c r="K83" s="29"/>
      <c r="L83" s="3"/>
      <c r="M83" s="3"/>
      <c r="N83" s="3"/>
      <c r="O83" s="3"/>
      <c r="P83" s="3"/>
    </row>
    <row r="84" spans="1:17" ht="13.8" thickBot="1" x14ac:dyDescent="0.3">
      <c r="A84" s="186" t="s">
        <v>1335</v>
      </c>
      <c r="B84" s="853">
        <v>1.8033022772617462E-2</v>
      </c>
      <c r="C84" s="854">
        <f t="shared" si="15"/>
        <v>9.3476185186200711E-2</v>
      </c>
      <c r="D84" s="854">
        <f t="shared" si="16"/>
        <v>0.1956901675693663</v>
      </c>
      <c r="E84" s="855">
        <f t="shared" si="17"/>
        <v>0.30745872309839961</v>
      </c>
      <c r="F84" s="615"/>
      <c r="G84" s="29"/>
      <c r="H84" s="29"/>
      <c r="I84" s="29"/>
      <c r="J84" s="29"/>
      <c r="K84" s="29"/>
      <c r="L84" s="3"/>
      <c r="M84" s="3"/>
      <c r="N84" s="3"/>
      <c r="O84" s="3"/>
      <c r="P84" s="3"/>
    </row>
    <row r="85" spans="1:17" x14ac:dyDescent="0.25">
      <c r="H85" s="3"/>
      <c r="I85" s="3"/>
      <c r="J85" s="3"/>
      <c r="K85" s="3"/>
      <c r="L85" s="3"/>
      <c r="M85" s="31"/>
      <c r="N85" s="31"/>
      <c r="O85" s="31"/>
      <c r="P85" s="31"/>
      <c r="Q85" s="3"/>
    </row>
    <row r="86" spans="1:17" x14ac:dyDescent="0.25">
      <c r="A86" s="1116" t="s">
        <v>204</v>
      </c>
      <c r="B86" s="1117"/>
      <c r="C86" s="1117"/>
      <c r="D86" s="1117"/>
      <c r="E86" s="1117"/>
      <c r="F86" s="1117"/>
      <c r="G86" s="1117"/>
    </row>
    <row r="87" spans="1:17" x14ac:dyDescent="0.25">
      <c r="A87" s="1117"/>
      <c r="B87" s="1117"/>
      <c r="C87" s="1117"/>
      <c r="D87" s="1117"/>
      <c r="E87" s="1117"/>
      <c r="F87" s="1117"/>
      <c r="G87" s="1117"/>
    </row>
    <row r="88" spans="1:17" x14ac:dyDescent="0.25">
      <c r="A88" s="1117"/>
      <c r="B88" s="1117"/>
      <c r="C88" s="1117"/>
      <c r="D88" s="1117"/>
      <c r="E88" s="1117"/>
      <c r="F88" s="1117"/>
      <c r="G88" s="1117"/>
    </row>
    <row r="89" spans="1:17" ht="13.8" thickBot="1" x14ac:dyDescent="0.3">
      <c r="A89" s="290"/>
      <c r="B89" s="290"/>
      <c r="C89" s="290"/>
      <c r="D89" s="290"/>
      <c r="E89" s="273"/>
      <c r="F89" s="273"/>
      <c r="L89" s="812"/>
    </row>
    <row r="90" spans="1:17" ht="12.75" customHeight="1" x14ac:dyDescent="0.25">
      <c r="B90" s="1109" t="s">
        <v>618</v>
      </c>
      <c r="C90" s="1110"/>
      <c r="D90" s="1110"/>
      <c r="E90" s="1110"/>
      <c r="F90" s="1110"/>
      <c r="G90" s="1110"/>
      <c r="H90" s="1110"/>
      <c r="I90" s="1111"/>
      <c r="J90" s="1112"/>
      <c r="K90" s="1112"/>
      <c r="L90" s="1112"/>
      <c r="M90" s="1112"/>
      <c r="N90" s="1112"/>
      <c r="O90" s="1112"/>
      <c r="P90" s="1112"/>
      <c r="Q90" s="1112"/>
    </row>
    <row r="91" spans="1:17" ht="57.75" customHeight="1" x14ac:dyDescent="0.25">
      <c r="A91" s="813" t="s">
        <v>322</v>
      </c>
      <c r="B91" s="815">
        <v>2010</v>
      </c>
      <c r="C91" s="423">
        <v>2015</v>
      </c>
      <c r="D91" s="423">
        <v>2020</v>
      </c>
      <c r="E91" s="423">
        <v>2025</v>
      </c>
      <c r="F91" s="616"/>
      <c r="G91" s="424" t="s">
        <v>592</v>
      </c>
      <c r="H91" s="424" t="s">
        <v>593</v>
      </c>
      <c r="I91" s="816" t="s">
        <v>594</v>
      </c>
      <c r="J91" s="824"/>
      <c r="K91" s="827"/>
      <c r="L91" s="827"/>
      <c r="M91" s="827"/>
      <c r="N91" s="3"/>
      <c r="O91" s="828"/>
      <c r="P91" s="828"/>
      <c r="Q91" s="828"/>
    </row>
    <row r="92" spans="1:17" x14ac:dyDescent="0.25">
      <c r="A92" s="814" t="s">
        <v>403</v>
      </c>
      <c r="B92" s="817">
        <v>274549</v>
      </c>
      <c r="C92" s="425">
        <f>G92*B92+B92</f>
        <v>283173.04471544718</v>
      </c>
      <c r="D92" s="425">
        <f>B92*H92+B92</f>
        <v>292000.00813008129</v>
      </c>
      <c r="E92" s="425">
        <f>I92*B92+B92</f>
        <v>301841.56504065043</v>
      </c>
      <c r="F92" s="617"/>
      <c r="G92" s="426">
        <v>3.1411677753141166E-2</v>
      </c>
      <c r="H92" s="427">
        <v>6.3562453806356251E-2</v>
      </c>
      <c r="I92" s="818">
        <v>9.9408721359940874E-2</v>
      </c>
      <c r="J92" s="825"/>
      <c r="K92" s="829"/>
      <c r="L92" s="829"/>
      <c r="M92" s="829"/>
      <c r="N92" s="3"/>
      <c r="O92" s="830"/>
      <c r="P92" s="3"/>
      <c r="Q92" s="3"/>
    </row>
    <row r="93" spans="1:17" x14ac:dyDescent="0.25">
      <c r="A93" s="814" t="s">
        <v>325</v>
      </c>
      <c r="B93" s="817">
        <v>905116</v>
      </c>
      <c r="C93" s="425">
        <f t="shared" ref="C93:C112" si="18">G93*B93+B93</f>
        <v>907455.32666591753</v>
      </c>
      <c r="D93" s="425">
        <f t="shared" ref="D93:D112" si="19">B93*H93+B93</f>
        <v>910608.33217215422</v>
      </c>
      <c r="E93" s="425">
        <f t="shared" ref="E93:E112" si="20">I93*B93+B93</f>
        <v>913456.20811327116</v>
      </c>
      <c r="F93" s="617"/>
      <c r="G93" s="426">
        <v>2.5845600629284191E-3</v>
      </c>
      <c r="H93" s="427">
        <v>6.0680975390493318E-3</v>
      </c>
      <c r="I93" s="818">
        <v>9.2145184852230593E-3</v>
      </c>
      <c r="J93" s="826"/>
      <c r="K93" s="829"/>
      <c r="L93" s="829"/>
      <c r="M93" s="829"/>
      <c r="N93" s="3"/>
      <c r="O93" s="830"/>
      <c r="P93" s="3"/>
      <c r="Q93" s="3"/>
    </row>
    <row r="94" spans="1:17" x14ac:dyDescent="0.25">
      <c r="A94" s="814" t="s">
        <v>328</v>
      </c>
      <c r="B94" s="817">
        <v>448734</v>
      </c>
      <c r="C94" s="425">
        <f t="shared" si="18"/>
        <v>461224.01481481479</v>
      </c>
      <c r="D94" s="425">
        <f t="shared" si="19"/>
        <v>476937.25925925927</v>
      </c>
      <c r="E94" s="425">
        <f t="shared" si="20"/>
        <v>487815.65925925924</v>
      </c>
      <c r="F94" s="617"/>
      <c r="G94" s="426">
        <v>2.7833894500561167E-2</v>
      </c>
      <c r="H94" s="427">
        <v>6.2850729517396189E-2</v>
      </c>
      <c r="I94" s="818">
        <v>8.7093153759820421E-2</v>
      </c>
      <c r="J94" s="826"/>
      <c r="K94" s="829"/>
      <c r="L94" s="829"/>
      <c r="M94" s="829"/>
      <c r="N94" s="3"/>
      <c r="O94" s="830"/>
      <c r="P94" s="3"/>
      <c r="Q94" s="3"/>
    </row>
    <row r="95" spans="1:17" x14ac:dyDescent="0.25">
      <c r="A95" s="814" t="s">
        <v>331</v>
      </c>
      <c r="B95" s="817">
        <v>513657</v>
      </c>
      <c r="C95" s="425">
        <f t="shared" si="18"/>
        <v>516236.69519026461</v>
      </c>
      <c r="D95" s="425">
        <f t="shared" si="19"/>
        <v>525464.06644774962</v>
      </c>
      <c r="E95" s="425">
        <f t="shared" si="20"/>
        <v>532111.74251497001</v>
      </c>
      <c r="F95" s="617"/>
      <c r="G95" s="426">
        <v>5.0222136372416459E-3</v>
      </c>
      <c r="H95" s="427">
        <v>2.298628549352907E-2</v>
      </c>
      <c r="I95" s="818">
        <v>3.5928143712574849E-2</v>
      </c>
      <c r="J95" s="826"/>
      <c r="K95" s="829"/>
      <c r="L95" s="829"/>
      <c r="M95" s="829"/>
      <c r="N95" s="3"/>
      <c r="O95" s="830"/>
      <c r="P95" s="3"/>
      <c r="Q95" s="3"/>
    </row>
    <row r="96" spans="1:17" x14ac:dyDescent="0.25">
      <c r="A96" s="814" t="s">
        <v>333</v>
      </c>
      <c r="B96" s="817">
        <v>97265</v>
      </c>
      <c r="C96" s="425">
        <f t="shared" si="18"/>
        <v>94644.388601036277</v>
      </c>
      <c r="D96" s="425">
        <f t="shared" si="19"/>
        <v>94745.181347150254</v>
      </c>
      <c r="E96" s="425">
        <f t="shared" si="20"/>
        <v>94543.595854922285</v>
      </c>
      <c r="F96" s="617"/>
      <c r="G96" s="426">
        <v>-2.6943005181347152E-2</v>
      </c>
      <c r="H96" s="427">
        <v>-2.5906735751295335E-2</v>
      </c>
      <c r="I96" s="818">
        <v>-2.7979274611398965E-2</v>
      </c>
      <c r="J96" s="826"/>
      <c r="K96" s="829"/>
      <c r="L96" s="829"/>
      <c r="M96" s="829"/>
      <c r="N96" s="3"/>
      <c r="O96" s="830"/>
      <c r="P96" s="3"/>
      <c r="Q96" s="3"/>
    </row>
    <row r="97" spans="1:17" x14ac:dyDescent="0.25">
      <c r="A97" s="814" t="s">
        <v>335</v>
      </c>
      <c r="B97" s="817">
        <v>156898</v>
      </c>
      <c r="C97" s="425">
        <f t="shared" si="18"/>
        <v>161400.8125</v>
      </c>
      <c r="D97" s="425">
        <f t="shared" si="19"/>
        <v>166303.875</v>
      </c>
      <c r="E97" s="425">
        <f t="shared" si="20"/>
        <v>171006.8125</v>
      </c>
      <c r="F97" s="617"/>
      <c r="G97" s="426">
        <v>2.8698979591836735E-2</v>
      </c>
      <c r="H97" s="427">
        <v>5.9948979591836732E-2</v>
      </c>
      <c r="I97" s="818">
        <v>8.9923469387755098E-2</v>
      </c>
      <c r="J97" s="826"/>
      <c r="K97" s="829"/>
      <c r="L97" s="829"/>
      <c r="M97" s="829"/>
      <c r="N97" s="3"/>
      <c r="O97" s="830"/>
      <c r="P97" s="3"/>
      <c r="Q97" s="3"/>
    </row>
    <row r="98" spans="1:17" x14ac:dyDescent="0.25">
      <c r="A98" s="814" t="s">
        <v>336</v>
      </c>
      <c r="B98" s="817">
        <v>783969</v>
      </c>
      <c r="C98" s="425">
        <f t="shared" si="18"/>
        <v>783253.60657019948</v>
      </c>
      <c r="D98" s="425">
        <f t="shared" si="19"/>
        <v>783969</v>
      </c>
      <c r="E98" s="425">
        <f t="shared" si="20"/>
        <v>784582.19436840049</v>
      </c>
      <c r="F98" s="617"/>
      <c r="G98" s="426">
        <v>-9.1252770173380268E-4</v>
      </c>
      <c r="H98" s="427">
        <v>0</v>
      </c>
      <c r="I98" s="818">
        <v>7.8216660148611649E-4</v>
      </c>
      <c r="J98" s="826"/>
      <c r="K98" s="829"/>
      <c r="L98" s="829"/>
      <c r="M98" s="829"/>
      <c r="N98" s="3"/>
      <c r="O98" s="830"/>
      <c r="P98" s="3"/>
      <c r="Q98" s="3"/>
    </row>
    <row r="99" spans="1:17" x14ac:dyDescent="0.25">
      <c r="A99" s="814" t="s">
        <v>337</v>
      </c>
      <c r="B99" s="817">
        <v>288288</v>
      </c>
      <c r="C99" s="425">
        <f t="shared" si="18"/>
        <v>301892.1526717557</v>
      </c>
      <c r="D99" s="425">
        <f t="shared" si="19"/>
        <v>316596.64122137404</v>
      </c>
      <c r="E99" s="425">
        <f t="shared" si="20"/>
        <v>331801.28244274808</v>
      </c>
      <c r="F99" s="617"/>
      <c r="G99" s="426">
        <v>4.7189451769604443E-2</v>
      </c>
      <c r="H99" s="427">
        <v>9.8195697432338649E-2</v>
      </c>
      <c r="I99" s="818">
        <v>0.15093684941013186</v>
      </c>
      <c r="J99" s="826"/>
      <c r="K99" s="829"/>
      <c r="L99" s="829"/>
      <c r="M99" s="829"/>
      <c r="N99" s="3"/>
      <c r="O99" s="830"/>
      <c r="P99" s="3"/>
      <c r="Q99" s="3"/>
    </row>
    <row r="100" spans="1:17" x14ac:dyDescent="0.25">
      <c r="A100" s="814" t="s">
        <v>338</v>
      </c>
      <c r="B100" s="817">
        <v>634266</v>
      </c>
      <c r="C100" s="425">
        <f t="shared" si="18"/>
        <v>635015.85002533358</v>
      </c>
      <c r="D100" s="425">
        <f t="shared" si="19"/>
        <v>636301.30721161969</v>
      </c>
      <c r="E100" s="425">
        <f t="shared" si="20"/>
        <v>638229.49299104884</v>
      </c>
      <c r="F100" s="617"/>
      <c r="G100" s="426">
        <v>1.1822327309576085E-3</v>
      </c>
      <c r="H100" s="427">
        <v>3.2089174125992229E-3</v>
      </c>
      <c r="I100" s="818">
        <v>6.2489444350616449E-3</v>
      </c>
      <c r="J100" s="826"/>
      <c r="K100" s="829"/>
      <c r="L100" s="829"/>
      <c r="M100" s="829"/>
      <c r="N100" s="3"/>
      <c r="O100" s="830"/>
      <c r="P100" s="3"/>
      <c r="Q100" s="3"/>
    </row>
    <row r="101" spans="1:17" x14ac:dyDescent="0.25">
      <c r="A101" s="814" t="s">
        <v>339</v>
      </c>
      <c r="B101" s="817">
        <v>128349</v>
      </c>
      <c r="C101" s="425">
        <f t="shared" si="18"/>
        <v>132007.63867488445</v>
      </c>
      <c r="D101" s="425">
        <f t="shared" si="19"/>
        <v>137841.68412942989</v>
      </c>
      <c r="E101" s="425">
        <f t="shared" si="20"/>
        <v>142983.55469953775</v>
      </c>
      <c r="F101" s="617"/>
      <c r="G101" s="426">
        <v>2.8505392912172575E-2</v>
      </c>
      <c r="H101" s="427">
        <v>7.3959938366718034E-2</v>
      </c>
      <c r="I101" s="818">
        <v>0.1140215716486903</v>
      </c>
      <c r="J101" s="826"/>
      <c r="K101" s="829"/>
      <c r="L101" s="829"/>
      <c r="M101" s="829"/>
      <c r="N101" s="3"/>
      <c r="O101" s="830"/>
      <c r="P101" s="3"/>
      <c r="Q101" s="3"/>
    </row>
    <row r="102" spans="1:17" x14ac:dyDescent="0.25">
      <c r="A102" s="814" t="s">
        <v>340</v>
      </c>
      <c r="B102" s="817">
        <v>366513</v>
      </c>
      <c r="C102" s="425">
        <f t="shared" si="18"/>
        <v>374856.54882062535</v>
      </c>
      <c r="D102" s="425">
        <f t="shared" si="19"/>
        <v>383803.24574876577</v>
      </c>
      <c r="E102" s="425">
        <f t="shared" si="20"/>
        <v>394458.86231486558</v>
      </c>
      <c r="F102" s="617"/>
      <c r="G102" s="426">
        <v>2.2764673614920461E-2</v>
      </c>
      <c r="H102" s="427">
        <v>4.7174986286341196E-2</v>
      </c>
      <c r="I102" s="818">
        <v>7.624794295117937E-2</v>
      </c>
      <c r="J102" s="826"/>
      <c r="K102" s="829"/>
      <c r="L102" s="829"/>
      <c r="M102" s="829"/>
      <c r="N102" s="3"/>
      <c r="O102" s="830"/>
      <c r="P102" s="3"/>
      <c r="Q102" s="3"/>
    </row>
    <row r="103" spans="1:17" x14ac:dyDescent="0.25">
      <c r="A103" s="814" t="s">
        <v>341</v>
      </c>
      <c r="B103" s="817">
        <v>809858</v>
      </c>
      <c r="C103" s="425">
        <f t="shared" si="18"/>
        <v>829967.80644339742</v>
      </c>
      <c r="D103" s="425">
        <f t="shared" si="19"/>
        <v>856677.75448873045</v>
      </c>
      <c r="E103" s="425">
        <f t="shared" si="20"/>
        <v>874931.27110658342</v>
      </c>
      <c r="F103" s="617"/>
      <c r="G103" s="426">
        <v>2.4831274672099835E-2</v>
      </c>
      <c r="H103" s="427">
        <v>5.7812301031452948E-2</v>
      </c>
      <c r="I103" s="818">
        <v>8.0351458041512794E-2</v>
      </c>
      <c r="J103" s="826"/>
      <c r="K103" s="829"/>
      <c r="L103" s="829"/>
      <c r="M103" s="829"/>
      <c r="N103" s="3"/>
      <c r="O103" s="830"/>
      <c r="P103" s="3"/>
      <c r="Q103" s="3"/>
    </row>
    <row r="104" spans="1:17" x14ac:dyDescent="0.25">
      <c r="A104" s="814" t="s">
        <v>125</v>
      </c>
      <c r="B104" s="817">
        <v>630380</v>
      </c>
      <c r="C104" s="425">
        <f t="shared" si="18"/>
        <v>643048.48730331822</v>
      </c>
      <c r="D104" s="425">
        <f t="shared" si="19"/>
        <v>658859.545100483</v>
      </c>
      <c r="E104" s="425">
        <f t="shared" si="20"/>
        <v>672902.90699485899</v>
      </c>
      <c r="F104" s="617"/>
      <c r="G104" s="426">
        <v>2.0096588253622059E-2</v>
      </c>
      <c r="H104" s="427">
        <v>4.5178376694189129E-2</v>
      </c>
      <c r="I104" s="818">
        <v>6.7455990029599622E-2</v>
      </c>
      <c r="J104" s="826"/>
      <c r="K104" s="829"/>
      <c r="L104" s="829"/>
      <c r="M104" s="829"/>
      <c r="N104" s="3"/>
      <c r="O104" s="830"/>
      <c r="P104" s="3"/>
      <c r="Q104" s="3"/>
    </row>
    <row r="105" spans="1:17" x14ac:dyDescent="0.25">
      <c r="A105" s="814" t="s">
        <v>343</v>
      </c>
      <c r="B105" s="817">
        <v>492276</v>
      </c>
      <c r="C105" s="425">
        <f t="shared" si="18"/>
        <v>501779.78804682684</v>
      </c>
      <c r="D105" s="425">
        <f t="shared" si="19"/>
        <v>514013.38755391253</v>
      </c>
      <c r="E105" s="425">
        <f t="shared" si="20"/>
        <v>525539.25816389406</v>
      </c>
      <c r="F105" s="617"/>
      <c r="G105" s="426">
        <v>1.9305812281782707E-2</v>
      </c>
      <c r="H105" s="427">
        <v>4.4156911070034915E-2</v>
      </c>
      <c r="I105" s="818">
        <v>6.7570342986239471E-2</v>
      </c>
      <c r="J105" s="826"/>
      <c r="K105" s="829"/>
      <c r="L105" s="829"/>
      <c r="M105" s="829"/>
      <c r="N105" s="3"/>
      <c r="O105" s="830"/>
      <c r="P105" s="3"/>
      <c r="Q105" s="3"/>
    </row>
    <row r="106" spans="1:17" x14ac:dyDescent="0.25">
      <c r="A106" s="814" t="s">
        <v>344</v>
      </c>
      <c r="B106" s="817">
        <v>576567</v>
      </c>
      <c r="C106" s="425">
        <f t="shared" si="18"/>
        <v>599034.59241706156</v>
      </c>
      <c r="D106" s="425">
        <f t="shared" si="19"/>
        <v>637189.01737756713</v>
      </c>
      <c r="E106" s="425">
        <f t="shared" si="20"/>
        <v>669777.14691943128</v>
      </c>
      <c r="F106" s="617"/>
      <c r="G106" s="426">
        <v>3.8967877830437071E-2</v>
      </c>
      <c r="H106" s="427">
        <v>0.10514305774969282</v>
      </c>
      <c r="I106" s="818">
        <v>0.1616640337019484</v>
      </c>
      <c r="J106" s="826"/>
      <c r="K106" s="829"/>
      <c r="L106" s="829"/>
      <c r="M106" s="829"/>
      <c r="N106" s="3"/>
      <c r="O106" s="830"/>
      <c r="P106" s="3"/>
      <c r="Q106" s="3"/>
    </row>
    <row r="107" spans="1:17" x14ac:dyDescent="0.25">
      <c r="A107" s="814" t="s">
        <v>345</v>
      </c>
      <c r="B107" s="817">
        <v>501226</v>
      </c>
      <c r="C107" s="425">
        <f t="shared" si="18"/>
        <v>502354.8873873874</v>
      </c>
      <c r="D107" s="425">
        <f t="shared" si="19"/>
        <v>503586.40090090089</v>
      </c>
      <c r="E107" s="425">
        <f t="shared" si="20"/>
        <v>505536.29729729728</v>
      </c>
      <c r="F107" s="617"/>
      <c r="G107" s="426">
        <v>2.2522522522522522E-3</v>
      </c>
      <c r="H107" s="427">
        <v>4.7092547092547092E-3</v>
      </c>
      <c r="I107" s="818">
        <v>8.5995085995085995E-3</v>
      </c>
      <c r="J107" s="826"/>
      <c r="K107" s="829"/>
      <c r="L107" s="829"/>
      <c r="M107" s="829"/>
      <c r="N107" s="3"/>
      <c r="O107" s="830"/>
      <c r="P107" s="3"/>
      <c r="Q107" s="3"/>
    </row>
    <row r="108" spans="1:17" x14ac:dyDescent="0.25">
      <c r="A108" s="814" t="s">
        <v>126</v>
      </c>
      <c r="B108" s="817">
        <v>66083</v>
      </c>
      <c r="C108" s="425">
        <f t="shared" si="18"/>
        <v>66582.116314199389</v>
      </c>
      <c r="D108" s="425">
        <f t="shared" si="19"/>
        <v>67081.232628398793</v>
      </c>
      <c r="E108" s="425">
        <f t="shared" si="20"/>
        <v>67680.172205438066</v>
      </c>
      <c r="F108" s="617"/>
      <c r="G108" s="426">
        <v>7.5528700906344415E-3</v>
      </c>
      <c r="H108" s="427">
        <v>1.5105740181268883E-2</v>
      </c>
      <c r="I108" s="818">
        <v>2.4169184290030211E-2</v>
      </c>
      <c r="J108" s="826"/>
      <c r="K108" s="829"/>
      <c r="L108" s="829"/>
      <c r="M108" s="829"/>
      <c r="N108" s="3"/>
      <c r="O108" s="830"/>
      <c r="P108" s="3"/>
      <c r="Q108" s="3"/>
    </row>
    <row r="109" spans="1:17" x14ac:dyDescent="0.25">
      <c r="A109" s="814" t="s">
        <v>347</v>
      </c>
      <c r="B109" s="817">
        <v>323444</v>
      </c>
      <c r="C109" s="425">
        <f t="shared" si="18"/>
        <v>335753.28589108912</v>
      </c>
      <c r="D109" s="425">
        <f t="shared" si="19"/>
        <v>352065.59158415842</v>
      </c>
      <c r="E109" s="425">
        <f t="shared" si="20"/>
        <v>364274.80198019801</v>
      </c>
      <c r="F109" s="617"/>
      <c r="G109" s="426">
        <v>3.8056930693069306E-2</v>
      </c>
      <c r="H109" s="427">
        <v>8.8490099009900985E-2</v>
      </c>
      <c r="I109" s="818">
        <v>0.12623762376237624</v>
      </c>
      <c r="J109" s="826"/>
      <c r="K109" s="829"/>
      <c r="L109" s="829"/>
      <c r="M109" s="829"/>
      <c r="N109" s="3"/>
      <c r="O109" s="830"/>
      <c r="P109" s="3"/>
      <c r="Q109" s="3"/>
    </row>
    <row r="110" spans="1:17" x14ac:dyDescent="0.25">
      <c r="A110" s="814" t="s">
        <v>348</v>
      </c>
      <c r="B110" s="817">
        <v>149265</v>
      </c>
      <c r="C110" s="425">
        <f t="shared" si="18"/>
        <v>153701.54227212683</v>
      </c>
      <c r="D110" s="425">
        <f t="shared" si="19"/>
        <v>159715.52179656539</v>
      </c>
      <c r="E110" s="425">
        <f t="shared" si="20"/>
        <v>162673.21664464995</v>
      </c>
      <c r="F110" s="617"/>
      <c r="G110" s="426">
        <v>2.9722589167767502E-2</v>
      </c>
      <c r="H110" s="427">
        <v>7.0013210039630125E-2</v>
      </c>
      <c r="I110" s="818">
        <v>8.982826948480846E-2</v>
      </c>
      <c r="J110" s="826"/>
      <c r="K110" s="829"/>
      <c r="L110" s="829"/>
      <c r="M110" s="829"/>
      <c r="N110" s="3"/>
      <c r="O110" s="830"/>
      <c r="P110" s="3"/>
      <c r="Q110" s="3"/>
    </row>
    <row r="111" spans="1:17" x14ac:dyDescent="0.25">
      <c r="A111" s="814" t="s">
        <v>349</v>
      </c>
      <c r="B111" s="817">
        <v>536499</v>
      </c>
      <c r="C111" s="425">
        <f t="shared" si="18"/>
        <v>537321.53583748557</v>
      </c>
      <c r="D111" s="425">
        <f t="shared" si="19"/>
        <v>538863.79053277115</v>
      </c>
      <c r="E111" s="425">
        <f t="shared" si="20"/>
        <v>541125.76408585662</v>
      </c>
      <c r="F111" s="617"/>
      <c r="G111" s="426">
        <v>1.5331544653123803E-3</v>
      </c>
      <c r="H111" s="427">
        <v>4.4078190877730929E-3</v>
      </c>
      <c r="I111" s="818">
        <v>8.6239938673821383E-3</v>
      </c>
      <c r="J111" s="826"/>
      <c r="K111" s="829"/>
      <c r="L111" s="829"/>
      <c r="M111" s="829"/>
      <c r="N111" s="3"/>
      <c r="O111" s="830"/>
      <c r="P111" s="3"/>
      <c r="Q111" s="3"/>
    </row>
    <row r="112" spans="1:17" x14ac:dyDescent="0.25">
      <c r="A112" s="814" t="s">
        <v>350</v>
      </c>
      <c r="B112" s="817">
        <v>108692</v>
      </c>
      <c r="C112" s="425">
        <f t="shared" si="18"/>
        <v>113142.53685168336</v>
      </c>
      <c r="D112" s="425">
        <f t="shared" si="19"/>
        <v>117988.67697907188</v>
      </c>
      <c r="E112" s="425">
        <f t="shared" si="20"/>
        <v>121549.10646041857</v>
      </c>
      <c r="F112" s="617"/>
      <c r="G112" s="426">
        <v>4.0946314831665151E-2</v>
      </c>
      <c r="H112" s="427">
        <v>8.5532302092811652E-2</v>
      </c>
      <c r="I112" s="818">
        <v>0.11828935395814377</v>
      </c>
      <c r="J112" s="826"/>
      <c r="K112" s="829"/>
      <c r="L112" s="829"/>
      <c r="M112" s="829"/>
      <c r="N112" s="3"/>
      <c r="O112" s="830"/>
      <c r="P112" s="3"/>
      <c r="Q112" s="3"/>
    </row>
    <row r="113" spans="1:17" ht="13.8" thickBot="1" x14ac:dyDescent="0.3">
      <c r="A113" s="814" t="s">
        <v>351</v>
      </c>
      <c r="B113" s="819">
        <f>SUM(B92:B112)</f>
        <v>8791894</v>
      </c>
      <c r="C113" s="626">
        <f>SUM(C92:C112)</f>
        <v>8933846.6580148563</v>
      </c>
      <c r="D113" s="626">
        <f>SUM(D92:D112)</f>
        <v>9130611.5196101461</v>
      </c>
      <c r="E113" s="626">
        <f>SUM(E92:E112)</f>
        <v>9298820.9119583014</v>
      </c>
      <c r="F113" s="820"/>
      <c r="G113" s="821">
        <f t="shared" ref="G113" si="21">(C113-B113)/B113</f>
        <v>1.6145856400777384E-2</v>
      </c>
      <c r="H113" s="822">
        <f t="shared" ref="H113" si="22">(D113-B113)/B113</f>
        <v>3.8526115033933085E-2</v>
      </c>
      <c r="I113" s="823">
        <f t="shared" ref="I113" si="23">(E113-B113)/B113</f>
        <v>5.7658442192126229E-2</v>
      </c>
      <c r="J113" s="831"/>
      <c r="K113" s="831"/>
      <c r="L113" s="831"/>
      <c r="M113" s="831"/>
      <c r="N113" s="3"/>
      <c r="O113" s="830"/>
      <c r="P113" s="3"/>
      <c r="Q113" s="3"/>
    </row>
    <row r="114" spans="1:17" x14ac:dyDescent="0.25">
      <c r="A114" s="1137" t="s">
        <v>595</v>
      </c>
      <c r="B114" s="1138"/>
      <c r="C114" s="1138"/>
      <c r="D114" s="1138"/>
      <c r="E114" s="1138"/>
      <c r="F114" s="1138"/>
      <c r="G114" s="1138"/>
      <c r="H114" s="1138"/>
      <c r="I114" s="1139"/>
      <c r="J114" s="344"/>
      <c r="K114" s="480"/>
      <c r="L114" s="478"/>
      <c r="M114" s="479"/>
    </row>
    <row r="115" spans="1:17" x14ac:dyDescent="0.25">
      <c r="A115" s="1140"/>
      <c r="B115" s="1141"/>
      <c r="C115" s="1141"/>
      <c r="D115" s="1141"/>
      <c r="E115" s="1141"/>
      <c r="F115" s="1141"/>
      <c r="G115" s="1141"/>
      <c r="H115" s="1141"/>
      <c r="I115" s="1142"/>
      <c r="J115" s="344"/>
      <c r="K115" s="480"/>
      <c r="L115" s="478"/>
      <c r="M115" s="479"/>
    </row>
    <row r="116" spans="1:17" x14ac:dyDescent="0.25">
      <c r="A116" s="1143" t="s">
        <v>127</v>
      </c>
      <c r="B116" s="1144"/>
      <c r="C116" s="1144"/>
      <c r="D116" s="1144"/>
      <c r="E116" s="1144"/>
      <c r="F116" s="1144"/>
      <c r="G116" s="1144"/>
      <c r="H116" s="1144"/>
      <c r="I116" s="1144"/>
      <c r="J116" s="344"/>
      <c r="K116" s="480"/>
      <c r="L116" s="478"/>
      <c r="M116" s="479"/>
    </row>
    <row r="117" spans="1:17" x14ac:dyDescent="0.25">
      <c r="A117" s="602"/>
      <c r="B117" s="344"/>
      <c r="C117" s="344"/>
      <c r="D117" s="344"/>
      <c r="E117" s="344"/>
      <c r="F117" s="344"/>
      <c r="G117" s="344"/>
      <c r="H117" s="344"/>
      <c r="I117" s="344"/>
      <c r="J117" s="344"/>
      <c r="K117" s="480"/>
      <c r="L117" s="478"/>
      <c r="M117" s="479"/>
    </row>
    <row r="118" spans="1:17" x14ac:dyDescent="0.25">
      <c r="A118" s="1145"/>
      <c r="B118" s="1145"/>
      <c r="C118" s="1145"/>
      <c r="D118" s="1145"/>
      <c r="E118" s="1145"/>
      <c r="F118" s="3"/>
      <c r="G118" s="3"/>
      <c r="H118" s="3"/>
      <c r="I118" s="3"/>
    </row>
    <row r="119" spans="1:17" x14ac:dyDescent="0.25">
      <c r="A119" s="603"/>
      <c r="B119" s="604"/>
      <c r="C119" s="604"/>
      <c r="D119" s="603"/>
      <c r="E119" s="604"/>
      <c r="F119" s="3"/>
      <c r="G119" s="3"/>
      <c r="H119" s="3"/>
      <c r="I119" s="3"/>
    </row>
    <row r="120" spans="1:17" x14ac:dyDescent="0.25">
      <c r="A120" s="605"/>
      <c r="B120" s="606"/>
      <c r="C120" s="606"/>
      <c r="D120" s="606"/>
      <c r="E120" s="606"/>
      <c r="F120" s="3"/>
      <c r="G120" s="3"/>
      <c r="H120" s="3"/>
      <c r="I120" s="3"/>
    </row>
    <row r="121" spans="1:17" x14ac:dyDescent="0.25">
      <c r="A121" s="605"/>
      <c r="B121" s="606"/>
      <c r="C121" s="606"/>
      <c r="D121" s="606"/>
      <c r="E121" s="606"/>
      <c r="F121" s="3"/>
      <c r="G121" s="3"/>
      <c r="H121" s="3"/>
      <c r="I121" s="3"/>
    </row>
    <row r="122" spans="1:17" x14ac:dyDescent="0.25">
      <c r="A122" s="605"/>
      <c r="B122" s="606"/>
      <c r="C122" s="606"/>
      <c r="D122" s="606"/>
      <c r="E122" s="606"/>
      <c r="F122" s="3"/>
      <c r="G122" s="3"/>
      <c r="H122" s="3"/>
      <c r="I122" s="3"/>
    </row>
    <row r="123" spans="1:17" x14ac:dyDescent="0.25">
      <c r="A123" s="605"/>
      <c r="B123" s="606"/>
      <c r="C123" s="606"/>
      <c r="D123" s="606"/>
      <c r="E123" s="606"/>
      <c r="F123" s="3"/>
      <c r="G123" s="3"/>
      <c r="H123" s="3"/>
      <c r="I123" s="3"/>
    </row>
    <row r="124" spans="1:17" x14ac:dyDescent="0.25">
      <c r="A124" s="605"/>
      <c r="B124" s="606"/>
      <c r="C124" s="606"/>
      <c r="D124" s="606"/>
      <c r="E124" s="606"/>
      <c r="F124" s="3"/>
      <c r="G124" s="3"/>
      <c r="H124" s="3"/>
      <c r="I124" s="3"/>
    </row>
    <row r="125" spans="1:17" x14ac:dyDescent="0.25">
      <c r="A125" s="605"/>
      <c r="B125" s="605"/>
      <c r="C125" s="605"/>
      <c r="D125" s="605"/>
      <c r="E125" s="606"/>
      <c r="F125" s="3"/>
      <c r="G125" s="3"/>
      <c r="H125" s="3"/>
      <c r="I125" s="3"/>
    </row>
    <row r="126" spans="1:17" x14ac:dyDescent="0.25">
      <c r="A126" s="606"/>
      <c r="B126" s="606"/>
      <c r="C126" s="606"/>
      <c r="D126" s="606"/>
      <c r="E126" s="605"/>
      <c r="F126" s="3"/>
      <c r="G126" s="3"/>
      <c r="H126" s="3"/>
      <c r="I126" s="3"/>
    </row>
    <row r="127" spans="1:17" x14ac:dyDescent="0.25">
      <c r="A127" s="606"/>
      <c r="B127" s="606"/>
      <c r="C127" s="606"/>
      <c r="D127" s="606"/>
      <c r="E127" s="605"/>
      <c r="F127" s="3"/>
      <c r="G127" s="3"/>
      <c r="H127" s="3"/>
      <c r="I127" s="3"/>
    </row>
    <row r="128" spans="1:17" x14ac:dyDescent="0.25">
      <c r="A128" s="607"/>
      <c r="B128" s="606"/>
      <c r="C128" s="606"/>
      <c r="D128" s="606"/>
      <c r="E128" s="605"/>
      <c r="F128" s="3"/>
      <c r="G128" s="3"/>
      <c r="H128" s="3"/>
      <c r="I128" s="3"/>
    </row>
    <row r="129" spans="1:9" ht="12.75" customHeight="1" x14ac:dyDescent="0.25">
      <c r="A129" s="1146"/>
      <c r="B129" s="1147"/>
      <c r="C129" s="608"/>
      <c r="D129" s="608"/>
      <c r="E129" s="608"/>
      <c r="F129" s="3"/>
      <c r="G129" s="3"/>
      <c r="H129" s="3"/>
      <c r="I129" s="3"/>
    </row>
    <row r="130" spans="1:9" s="301" customFormat="1" x14ac:dyDescent="0.25">
      <c r="A130" s="1146"/>
      <c r="B130" s="1147"/>
      <c r="C130" s="608"/>
      <c r="D130" s="608"/>
      <c r="E130" s="608"/>
      <c r="F130" s="356"/>
      <c r="G130" s="356"/>
      <c r="H130" s="356"/>
      <c r="I130" s="356"/>
    </row>
    <row r="131" spans="1:9" s="301" customFormat="1" x14ac:dyDescent="0.25">
      <c r="A131" s="1146"/>
      <c r="B131" s="1147"/>
      <c r="C131" s="608"/>
      <c r="D131" s="608"/>
      <c r="E131" s="608"/>
      <c r="F131" s="356"/>
      <c r="G131" s="356"/>
      <c r="H131" s="356"/>
      <c r="I131" s="356"/>
    </row>
    <row r="132" spans="1:9" s="301" customFormat="1" ht="15.75" customHeight="1" x14ac:dyDescent="0.25">
      <c r="A132" s="394"/>
      <c r="B132" s="395"/>
      <c r="C132" s="395"/>
      <c r="D132" s="395"/>
      <c r="E132" s="395"/>
    </row>
    <row r="133" spans="1:9" s="301" customFormat="1" x14ac:dyDescent="0.25">
      <c r="A133" s="1136"/>
      <c r="B133" s="1136"/>
      <c r="C133" s="1136"/>
      <c r="D133" s="1136"/>
      <c r="E133" s="1136"/>
    </row>
    <row r="134" spans="1:9" s="301" customFormat="1" ht="18" customHeight="1" x14ac:dyDescent="0.25">
      <c r="A134" s="1136"/>
      <c r="B134" s="1136"/>
      <c r="C134" s="1136"/>
      <c r="D134" s="1136"/>
      <c r="E134" s="1136"/>
    </row>
    <row r="135" spans="1:9" s="301" customFormat="1" ht="43.5" customHeight="1" x14ac:dyDescent="0.25">
      <c r="A135" s="1136"/>
      <c r="B135" s="1136"/>
      <c r="C135" s="1136"/>
      <c r="D135" s="1136"/>
      <c r="E135" s="1136"/>
    </row>
    <row r="136" spans="1:9" s="301" customFormat="1" x14ac:dyDescent="0.25">
      <c r="A136" s="1135"/>
      <c r="B136" s="1136"/>
      <c r="C136" s="1136"/>
      <c r="D136" s="1136"/>
      <c r="E136" s="1136"/>
    </row>
    <row r="137" spans="1:9" s="301" customFormat="1" ht="31.5" customHeight="1" x14ac:dyDescent="0.25">
      <c r="A137" s="1136"/>
      <c r="B137" s="1136"/>
      <c r="C137" s="1136"/>
      <c r="D137" s="1136"/>
      <c r="E137" s="1136"/>
    </row>
    <row r="138" spans="1:9" s="301" customFormat="1" x14ac:dyDescent="0.25">
      <c r="A138" s="1135"/>
      <c r="B138" s="1136"/>
      <c r="C138" s="1136"/>
      <c r="D138" s="1136"/>
      <c r="E138" s="1136"/>
    </row>
    <row r="139" spans="1:9" s="301" customFormat="1" ht="29.25" customHeight="1" x14ac:dyDescent="0.25">
      <c r="A139" s="1136"/>
      <c r="B139" s="1136"/>
      <c r="C139" s="1136"/>
      <c r="D139" s="1136"/>
      <c r="E139" s="1136"/>
    </row>
    <row r="140" spans="1:9" s="301" customFormat="1" x14ac:dyDescent="0.25">
      <c r="A140" s="1135"/>
      <c r="B140" s="1136"/>
      <c r="C140" s="1136"/>
      <c r="D140" s="1136"/>
      <c r="E140" s="1136"/>
    </row>
    <row r="141" spans="1:9" s="301" customFormat="1" ht="31.5" customHeight="1" x14ac:dyDescent="0.25">
      <c r="A141" s="1136"/>
      <c r="B141" s="1136"/>
      <c r="C141" s="1136"/>
      <c r="D141" s="1136"/>
      <c r="E141" s="1136"/>
    </row>
    <row r="142" spans="1:9" x14ac:dyDescent="0.25">
      <c r="A142" s="386"/>
      <c r="B142" s="386"/>
      <c r="C142" s="386"/>
      <c r="D142" s="386"/>
      <c r="E142" s="386"/>
    </row>
  </sheetData>
  <mergeCells count="23">
    <mergeCell ref="A140:E141"/>
    <mergeCell ref="A133:E134"/>
    <mergeCell ref="A135:E135"/>
    <mergeCell ref="A136:E137"/>
    <mergeCell ref="A114:I115"/>
    <mergeCell ref="A116:I116"/>
    <mergeCell ref="A118:E118"/>
    <mergeCell ref="A138:E139"/>
    <mergeCell ref="A129:A131"/>
    <mergeCell ref="B129:B131"/>
    <mergeCell ref="B90:I90"/>
    <mergeCell ref="J90:Q90"/>
    <mergeCell ref="AC4:AE4"/>
    <mergeCell ref="A86:G88"/>
    <mergeCell ref="Y4:AB4"/>
    <mergeCell ref="R4:T4"/>
    <mergeCell ref="U4:X4"/>
    <mergeCell ref="B4:M4"/>
    <mergeCell ref="N4:Q4"/>
    <mergeCell ref="J58:L59"/>
    <mergeCell ref="D76:E76"/>
    <mergeCell ref="B76:C76"/>
    <mergeCell ref="H37:L37"/>
  </mergeCells>
  <phoneticPr fontId="0" type="noConversion"/>
  <hyperlinks>
    <hyperlink ref="W38" r:id="rId1"/>
  </hyperlinks>
  <pageMargins left="0.75" right="0.75" top="1" bottom="1" header="0.5" footer="0.5"/>
  <pageSetup paperSize="5" scale="50" fitToHeight="2" orientation="landscape" r:id="rId2"/>
  <headerFooter alignWithMargins="0">
    <oddFooter>&amp;L&amp;"Arial,Italic" 7/02/07&amp;C&amp;"Arial,Italic"&amp;A&amp;R&amp;"Arial,Italic"NJAES Report 2007-1 ©2007
New Jersey Agricultural Experiment Station</oddFooter>
  </headerFooter>
  <ignoredErrors>
    <ignoredError sqref="B113" formulaRange="1"/>
  </ignoredError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1"/>
  <sheetViews>
    <sheetView topLeftCell="A4" workbookViewId="0">
      <selection activeCell="J14" sqref="J14"/>
    </sheetView>
  </sheetViews>
  <sheetFormatPr defaultColWidth="8.88671875" defaultRowHeight="13.2" x14ac:dyDescent="0.25"/>
  <cols>
    <col min="1" max="1" width="18" bestFit="1" customWidth="1"/>
    <col min="2" max="2" width="13.109375" style="131" customWidth="1"/>
    <col min="3" max="3" width="20.44140625" style="131" bestFit="1" customWidth="1"/>
    <col min="4" max="4" width="22.33203125" customWidth="1"/>
    <col min="5" max="5" width="15" customWidth="1"/>
    <col min="6" max="6" width="13.44140625" bestFit="1" customWidth="1"/>
    <col min="7" max="7" width="9.44140625" bestFit="1" customWidth="1"/>
    <col min="8" max="8" width="14.6640625" bestFit="1" customWidth="1"/>
    <col min="9" max="9" width="6.88671875" customWidth="1"/>
    <col min="10" max="10" width="7.6640625" bestFit="1" customWidth="1"/>
    <col min="11" max="12" width="9.33203125" bestFit="1" customWidth="1"/>
  </cols>
  <sheetData>
    <row r="1" spans="1:12" x14ac:dyDescent="0.25">
      <c r="A1" s="566" t="s">
        <v>1187</v>
      </c>
    </row>
    <row r="2" spans="1:12" x14ac:dyDescent="0.25">
      <c r="A2" s="80" t="s">
        <v>18</v>
      </c>
    </row>
    <row r="3" spans="1:12" ht="13.8" thickBot="1" x14ac:dyDescent="0.3">
      <c r="A3" s="80"/>
      <c r="C3" s="1148" t="s">
        <v>461</v>
      </c>
      <c r="D3" s="1149"/>
    </row>
    <row r="4" spans="1:12" x14ac:dyDescent="0.25">
      <c r="A4" s="179"/>
      <c r="B4" s="206" t="s">
        <v>425</v>
      </c>
      <c r="C4" s="206" t="s">
        <v>993</v>
      </c>
      <c r="D4" s="207" t="s">
        <v>994</v>
      </c>
      <c r="E4" s="51"/>
      <c r="F4" s="51"/>
    </row>
    <row r="5" spans="1:12" x14ac:dyDescent="0.25">
      <c r="A5" s="208" t="s">
        <v>180</v>
      </c>
      <c r="B5" s="91" t="s">
        <v>181</v>
      </c>
      <c r="C5" s="145">
        <v>0.44800000000000001</v>
      </c>
      <c r="D5" s="203">
        <v>0.23200000000000001</v>
      </c>
      <c r="E5" s="51"/>
      <c r="F5" s="51"/>
    </row>
    <row r="6" spans="1:12" x14ac:dyDescent="0.25">
      <c r="A6" s="208" t="s">
        <v>182</v>
      </c>
      <c r="B6" s="91" t="s">
        <v>181</v>
      </c>
      <c r="C6" s="145">
        <v>0.248</v>
      </c>
      <c r="D6" s="203">
        <v>0.29099999999999998</v>
      </c>
      <c r="E6" s="51"/>
      <c r="F6" s="51"/>
    </row>
    <row r="7" spans="1:12" x14ac:dyDescent="0.25">
      <c r="A7" s="208" t="s">
        <v>183</v>
      </c>
      <c r="B7" s="91" t="s">
        <v>184</v>
      </c>
      <c r="C7" s="146">
        <f>C5/C9*2000</f>
        <v>125.52535724292518</v>
      </c>
      <c r="D7" s="204">
        <f>D5/D9*2000</f>
        <v>70.839694656488547</v>
      </c>
      <c r="E7" s="51"/>
      <c r="F7" s="51"/>
    </row>
    <row r="8" spans="1:12" x14ac:dyDescent="0.25">
      <c r="A8" s="208" t="s">
        <v>185</v>
      </c>
      <c r="B8" s="91" t="s">
        <v>186</v>
      </c>
      <c r="C8" s="146">
        <f>C6/C9*2000</f>
        <v>69.487251330905011</v>
      </c>
      <c r="D8" s="204">
        <f>D6/D9*2000</f>
        <v>88.854961832061065</v>
      </c>
      <c r="E8" s="51"/>
      <c r="F8" s="51"/>
    </row>
    <row r="9" spans="1:12" ht="13.8" thickBot="1" x14ac:dyDescent="0.3">
      <c r="A9" s="209" t="s">
        <v>187</v>
      </c>
      <c r="B9" s="201" t="s">
        <v>188</v>
      </c>
      <c r="C9" s="202">
        <v>7.1379999999999999</v>
      </c>
      <c r="D9" s="205">
        <v>6.55</v>
      </c>
      <c r="E9" s="51"/>
      <c r="F9" s="199">
        <v>8.33</v>
      </c>
    </row>
    <row r="10" spans="1:12" ht="13.8" thickBot="1" x14ac:dyDescent="0.3">
      <c r="A10" s="51"/>
      <c r="B10" s="51"/>
      <c r="C10" s="91"/>
      <c r="D10" s="91"/>
      <c r="E10" s="51"/>
      <c r="F10" s="51"/>
      <c r="G10" s="51"/>
      <c r="H10" s="51"/>
      <c r="I10" s="51"/>
      <c r="J10" s="51"/>
      <c r="K10" s="51"/>
      <c r="L10" s="51"/>
    </row>
    <row r="11" spans="1:12" ht="13.8" thickBot="1" x14ac:dyDescent="0.3">
      <c r="A11" s="179"/>
      <c r="B11" s="224"/>
      <c r="C11" s="225"/>
      <c r="D11" s="1156" t="s">
        <v>993</v>
      </c>
      <c r="E11" s="1157"/>
      <c r="F11" s="1158"/>
      <c r="G11" s="1150" t="s">
        <v>994</v>
      </c>
      <c r="H11" s="1151"/>
      <c r="I11" s="1151"/>
      <c r="J11" s="1152"/>
      <c r="K11" s="1152"/>
      <c r="L11" s="1153"/>
    </row>
    <row r="12" spans="1:12" ht="13.8" thickBot="1" x14ac:dyDescent="0.3">
      <c r="A12" s="232"/>
      <c r="B12" s="1154" t="s">
        <v>189</v>
      </c>
      <c r="C12" s="1155"/>
      <c r="D12" s="1159" t="s">
        <v>190</v>
      </c>
      <c r="E12" s="1160"/>
      <c r="F12" s="1155"/>
      <c r="G12" s="1150" t="s">
        <v>190</v>
      </c>
      <c r="H12" s="1151"/>
      <c r="I12" s="1151"/>
      <c r="J12" s="1152"/>
      <c r="K12" s="1152"/>
      <c r="L12" s="1153"/>
    </row>
    <row r="13" spans="1:12" x14ac:dyDescent="0.25">
      <c r="A13" s="232"/>
      <c r="B13" s="226" t="s">
        <v>191</v>
      </c>
      <c r="C13" s="227" t="s">
        <v>997</v>
      </c>
      <c r="D13" s="228" t="s">
        <v>191</v>
      </c>
      <c r="E13" s="169" t="s">
        <v>998</v>
      </c>
      <c r="F13" s="227" t="s">
        <v>409</v>
      </c>
      <c r="G13" s="402" t="s">
        <v>191</v>
      </c>
      <c r="H13" s="403" t="s">
        <v>998</v>
      </c>
      <c r="I13" s="403">
        <v>2012</v>
      </c>
      <c r="J13" s="404">
        <v>2015</v>
      </c>
      <c r="K13" s="404">
        <v>2020</v>
      </c>
      <c r="L13" s="405">
        <v>2025</v>
      </c>
    </row>
    <row r="14" spans="1:12" x14ac:dyDescent="0.25">
      <c r="A14" s="208" t="s">
        <v>192</v>
      </c>
      <c r="B14" s="212">
        <v>0.38400000000000001</v>
      </c>
      <c r="C14" s="213">
        <v>0.34200000000000003</v>
      </c>
      <c r="D14" s="211">
        <f t="shared" ref="D14:D25" si="0">B14*$C$8</f>
        <v>26.683104511067526</v>
      </c>
      <c r="E14" s="210">
        <f t="shared" ref="E14:E25" si="1">C14*$C$7</f>
        <v>42.929672177080413</v>
      </c>
      <c r="F14" s="217">
        <f t="shared" ref="F14:F25" si="2">SUM(D14:E14)</f>
        <v>69.612776688147932</v>
      </c>
      <c r="G14" s="216">
        <f t="shared" ref="G14:G25" si="3">B14*$D$8</f>
        <v>34.120305343511447</v>
      </c>
      <c r="H14" s="210">
        <f t="shared" ref="H14:H25" si="4">C14*$D$7</f>
        <v>24.227175572519084</v>
      </c>
      <c r="I14" s="210">
        <f t="shared" ref="I14:I25" si="5">SUM(G14:H14)</f>
        <v>58.347480916030534</v>
      </c>
      <c r="J14" s="229">
        <v>70</v>
      </c>
      <c r="K14" s="229">
        <v>80</v>
      </c>
      <c r="L14" s="350">
        <v>90</v>
      </c>
    </row>
    <row r="15" spans="1:12" x14ac:dyDescent="0.25">
      <c r="A15" s="208" t="s">
        <v>193</v>
      </c>
      <c r="B15" s="212">
        <v>0.58699999999999997</v>
      </c>
      <c r="C15" s="213">
        <v>0.24399999999999999</v>
      </c>
      <c r="D15" s="211">
        <f t="shared" si="0"/>
        <v>40.789016531241238</v>
      </c>
      <c r="E15" s="210">
        <f t="shared" si="1"/>
        <v>30.628187167273744</v>
      </c>
      <c r="F15" s="217">
        <f t="shared" si="2"/>
        <v>71.417203698514982</v>
      </c>
      <c r="G15" s="216">
        <f t="shared" si="3"/>
        <v>52.157862595419843</v>
      </c>
      <c r="H15" s="210">
        <f t="shared" si="4"/>
        <v>17.284885496183204</v>
      </c>
      <c r="I15" s="210">
        <f t="shared" si="5"/>
        <v>69.44274809160305</v>
      </c>
      <c r="J15" s="230">
        <f t="shared" ref="J15:J25" si="6">I15*$J$28</f>
        <v>83.311092271623536</v>
      </c>
      <c r="K15" s="230">
        <f t="shared" ref="K15:K25" si="7">I15*$K$28</f>
        <v>95.212676881855472</v>
      </c>
      <c r="L15" s="351">
        <f t="shared" ref="L15:L26" si="8">I15*$L$28</f>
        <v>107.11426149208741</v>
      </c>
    </row>
    <row r="16" spans="1:12" x14ac:dyDescent="0.25">
      <c r="A16" s="208" t="s">
        <v>194</v>
      </c>
      <c r="B16" s="214">
        <v>0.5</v>
      </c>
      <c r="C16" s="215">
        <v>0.3</v>
      </c>
      <c r="D16" s="211">
        <f t="shared" si="0"/>
        <v>34.743625665452505</v>
      </c>
      <c r="E16" s="210">
        <f t="shared" si="1"/>
        <v>37.657607172877555</v>
      </c>
      <c r="F16" s="217">
        <f t="shared" si="2"/>
        <v>72.40123283833006</v>
      </c>
      <c r="G16" s="216">
        <f t="shared" si="3"/>
        <v>44.427480916030532</v>
      </c>
      <c r="H16" s="210">
        <f t="shared" si="4"/>
        <v>21.251908396946565</v>
      </c>
      <c r="I16" s="210">
        <f t="shared" si="5"/>
        <v>65.679389312977094</v>
      </c>
      <c r="J16" s="230">
        <f t="shared" si="6"/>
        <v>78.796156744536546</v>
      </c>
      <c r="K16" s="230">
        <f t="shared" si="7"/>
        <v>90.05275056518461</v>
      </c>
      <c r="L16" s="351">
        <f t="shared" si="8"/>
        <v>101.30934438583269</v>
      </c>
    </row>
    <row r="17" spans="1:12" x14ac:dyDescent="0.25">
      <c r="A17" s="208" t="s">
        <v>195</v>
      </c>
      <c r="B17" s="214">
        <v>0.74</v>
      </c>
      <c r="C17" s="213">
        <v>0.105</v>
      </c>
      <c r="D17" s="211">
        <f t="shared" si="0"/>
        <v>51.420565984869704</v>
      </c>
      <c r="E17" s="210">
        <f t="shared" si="1"/>
        <v>13.180162510507143</v>
      </c>
      <c r="F17" s="217">
        <f t="shared" si="2"/>
        <v>64.600728495376842</v>
      </c>
      <c r="G17" s="216">
        <f t="shared" si="3"/>
        <v>65.752671755725189</v>
      </c>
      <c r="H17" s="210">
        <f t="shared" si="4"/>
        <v>7.4381679389312971</v>
      </c>
      <c r="I17" s="210">
        <f t="shared" si="5"/>
        <v>73.190839694656489</v>
      </c>
      <c r="J17" s="230">
        <f t="shared" si="6"/>
        <v>87.807711630243659</v>
      </c>
      <c r="K17" s="230">
        <f t="shared" si="7"/>
        <v>100.35167043456417</v>
      </c>
      <c r="L17" s="351">
        <f t="shared" si="8"/>
        <v>112.89562923888469</v>
      </c>
    </row>
    <row r="18" spans="1:12" x14ac:dyDescent="0.25">
      <c r="A18" s="208" t="s">
        <v>196</v>
      </c>
      <c r="B18" s="214">
        <v>0.45</v>
      </c>
      <c r="C18" s="215">
        <v>0.32</v>
      </c>
      <c r="D18" s="211">
        <f t="shared" si="0"/>
        <v>31.269263098907256</v>
      </c>
      <c r="E18" s="210">
        <f t="shared" si="1"/>
        <v>40.168114317736062</v>
      </c>
      <c r="F18" s="217">
        <f t="shared" si="2"/>
        <v>71.437377416643315</v>
      </c>
      <c r="G18" s="216">
        <f t="shared" si="3"/>
        <v>39.984732824427482</v>
      </c>
      <c r="H18" s="210">
        <f t="shared" si="4"/>
        <v>22.668702290076336</v>
      </c>
      <c r="I18" s="210">
        <f t="shared" si="5"/>
        <v>62.653435114503822</v>
      </c>
      <c r="J18" s="230">
        <f t="shared" si="6"/>
        <v>75.165892154400069</v>
      </c>
      <c r="K18" s="230">
        <f t="shared" si="7"/>
        <v>85.903876747885789</v>
      </c>
      <c r="L18" s="351">
        <f t="shared" si="8"/>
        <v>96.641861341371509</v>
      </c>
    </row>
    <row r="19" spans="1:12" x14ac:dyDescent="0.25">
      <c r="A19" s="208" t="s">
        <v>518</v>
      </c>
      <c r="B19" s="212">
        <v>0.26500000000000001</v>
      </c>
      <c r="C19" s="213">
        <v>0.10199999999999999</v>
      </c>
      <c r="D19" s="211">
        <f t="shared" si="0"/>
        <v>18.414121602689828</v>
      </c>
      <c r="E19" s="210">
        <f t="shared" si="1"/>
        <v>12.803586438778368</v>
      </c>
      <c r="F19" s="217">
        <f t="shared" si="2"/>
        <v>31.217708041468196</v>
      </c>
      <c r="G19" s="216">
        <f t="shared" si="3"/>
        <v>23.546564885496185</v>
      </c>
      <c r="H19" s="210">
        <f t="shared" si="4"/>
        <v>7.2256488549618316</v>
      </c>
      <c r="I19" s="210">
        <f t="shared" si="5"/>
        <v>30.772213740458017</v>
      </c>
      <c r="J19" s="230">
        <f t="shared" si="6"/>
        <v>36.917702838482796</v>
      </c>
      <c r="K19" s="230">
        <f t="shared" si="7"/>
        <v>42.191660386837476</v>
      </c>
      <c r="L19" s="351">
        <f t="shared" si="8"/>
        <v>47.465617935192164</v>
      </c>
    </row>
    <row r="20" spans="1:12" x14ac:dyDescent="0.25">
      <c r="A20" s="208" t="s">
        <v>197</v>
      </c>
      <c r="B20" s="212">
        <v>0.76400000000000001</v>
      </c>
      <c r="C20" s="215">
        <v>0</v>
      </c>
      <c r="D20" s="211">
        <f t="shared" si="0"/>
        <v>53.088260016811432</v>
      </c>
      <c r="E20" s="210">
        <f t="shared" si="1"/>
        <v>0</v>
      </c>
      <c r="F20" s="217">
        <f t="shared" si="2"/>
        <v>53.088260016811432</v>
      </c>
      <c r="G20" s="216">
        <f t="shared" si="3"/>
        <v>67.885190839694658</v>
      </c>
      <c r="H20" s="210">
        <f t="shared" si="4"/>
        <v>0</v>
      </c>
      <c r="I20" s="210">
        <f t="shared" si="5"/>
        <v>67.885190839694658</v>
      </c>
      <c r="J20" s="230">
        <f t="shared" si="6"/>
        <v>81.442476764632005</v>
      </c>
      <c r="K20" s="230">
        <f t="shared" si="7"/>
        <v>93.077116302436565</v>
      </c>
      <c r="L20" s="351">
        <f t="shared" si="8"/>
        <v>104.71175584024114</v>
      </c>
    </row>
    <row r="21" spans="1:12" x14ac:dyDescent="0.25">
      <c r="A21" s="208" t="s">
        <v>565</v>
      </c>
      <c r="B21" s="214">
        <v>0.45</v>
      </c>
      <c r="C21" s="213">
        <v>0.27500000000000002</v>
      </c>
      <c r="D21" s="211">
        <f t="shared" si="0"/>
        <v>31.269263098907256</v>
      </c>
      <c r="E21" s="210">
        <f t="shared" si="1"/>
        <v>34.519473241804427</v>
      </c>
      <c r="F21" s="217">
        <f t="shared" si="2"/>
        <v>65.788736340711679</v>
      </c>
      <c r="G21" s="216">
        <f t="shared" si="3"/>
        <v>39.984732824427482</v>
      </c>
      <c r="H21" s="210">
        <f t="shared" si="4"/>
        <v>19.480916030534353</v>
      </c>
      <c r="I21" s="210">
        <f t="shared" si="5"/>
        <v>59.465648854961835</v>
      </c>
      <c r="J21" s="230">
        <f t="shared" si="6"/>
        <v>71.341476178514611</v>
      </c>
      <c r="K21" s="230">
        <f t="shared" si="7"/>
        <v>81.533115632588121</v>
      </c>
      <c r="L21" s="351">
        <f t="shared" si="8"/>
        <v>91.724755086661645</v>
      </c>
    </row>
    <row r="22" spans="1:12" x14ac:dyDescent="0.25">
      <c r="A22" s="208" t="s">
        <v>555</v>
      </c>
      <c r="B22" s="212">
        <v>0.57299999999999995</v>
      </c>
      <c r="C22" s="213">
        <v>9.9000000000000005E-2</v>
      </c>
      <c r="D22" s="211">
        <f t="shared" si="0"/>
        <v>39.816195012608567</v>
      </c>
      <c r="E22" s="210">
        <f t="shared" si="1"/>
        <v>12.427010367049593</v>
      </c>
      <c r="F22" s="217">
        <f t="shared" si="2"/>
        <v>52.243205379658164</v>
      </c>
      <c r="G22" s="216">
        <f t="shared" si="3"/>
        <v>50.913893129770983</v>
      </c>
      <c r="H22" s="210">
        <f t="shared" si="4"/>
        <v>7.0131297709923661</v>
      </c>
      <c r="I22" s="210">
        <f t="shared" si="5"/>
        <v>57.927022900763347</v>
      </c>
      <c r="J22" s="230">
        <f t="shared" si="6"/>
        <v>69.49557272042199</v>
      </c>
      <c r="K22" s="230">
        <f t="shared" si="7"/>
        <v>79.423511680482278</v>
      </c>
      <c r="L22" s="351">
        <f t="shared" si="8"/>
        <v>89.351450640542552</v>
      </c>
    </row>
    <row r="23" spans="1:12" x14ac:dyDescent="0.25">
      <c r="A23" s="208" t="s">
        <v>198</v>
      </c>
      <c r="B23" s="212">
        <v>0.48499999999999999</v>
      </c>
      <c r="C23" s="215">
        <v>0.09</v>
      </c>
      <c r="D23" s="211">
        <f t="shared" si="0"/>
        <v>33.70131689548893</v>
      </c>
      <c r="E23" s="210">
        <f t="shared" si="1"/>
        <v>11.297282151863266</v>
      </c>
      <c r="F23" s="217">
        <f t="shared" si="2"/>
        <v>44.998599047352194</v>
      </c>
      <c r="G23" s="216">
        <f t="shared" si="3"/>
        <v>43.094656488549617</v>
      </c>
      <c r="H23" s="210">
        <f t="shared" si="4"/>
        <v>6.3755725190839687</v>
      </c>
      <c r="I23" s="210">
        <f t="shared" si="5"/>
        <v>49.470229007633584</v>
      </c>
      <c r="J23" s="230">
        <f t="shared" si="6"/>
        <v>59.349880683245409</v>
      </c>
      <c r="K23" s="230">
        <f t="shared" si="7"/>
        <v>67.828435066566186</v>
      </c>
      <c r="L23" s="351">
        <f t="shared" si="8"/>
        <v>76.306989449886956</v>
      </c>
    </row>
    <row r="24" spans="1:12" x14ac:dyDescent="0.25">
      <c r="A24" s="208" t="s">
        <v>199</v>
      </c>
      <c r="B24" s="212">
        <v>0.874</v>
      </c>
      <c r="C24" s="213">
        <v>8.4000000000000005E-2</v>
      </c>
      <c r="D24" s="211">
        <f t="shared" si="0"/>
        <v>60.731857663210981</v>
      </c>
      <c r="E24" s="210">
        <f t="shared" si="1"/>
        <v>10.544130008405716</v>
      </c>
      <c r="F24" s="217">
        <f t="shared" si="2"/>
        <v>71.27598767161669</v>
      </c>
      <c r="G24" s="216">
        <f t="shared" si="3"/>
        <v>77.659236641221369</v>
      </c>
      <c r="H24" s="210">
        <f t="shared" si="4"/>
        <v>5.9505343511450386</v>
      </c>
      <c r="I24" s="210">
        <f t="shared" si="5"/>
        <v>83.609770992366407</v>
      </c>
      <c r="J24" s="230">
        <f t="shared" si="6"/>
        <v>100.30739763878421</v>
      </c>
      <c r="K24" s="230">
        <f t="shared" si="7"/>
        <v>114.63702587289625</v>
      </c>
      <c r="L24" s="351">
        <f t="shared" si="8"/>
        <v>128.96665410700828</v>
      </c>
    </row>
    <row r="25" spans="1:12" x14ac:dyDescent="0.25">
      <c r="A25" s="208" t="s">
        <v>200</v>
      </c>
      <c r="B25" s="212">
        <v>0.42299999999999999</v>
      </c>
      <c r="C25" s="213">
        <v>9.4E-2</v>
      </c>
      <c r="D25" s="211">
        <f t="shared" si="0"/>
        <v>29.39310731297282</v>
      </c>
      <c r="E25" s="210">
        <f t="shared" si="1"/>
        <v>11.799383580834967</v>
      </c>
      <c r="F25" s="217">
        <f t="shared" si="2"/>
        <v>41.192490893807786</v>
      </c>
      <c r="G25" s="216">
        <f t="shared" si="3"/>
        <v>37.585648854961832</v>
      </c>
      <c r="H25" s="210">
        <f t="shared" si="4"/>
        <v>6.6589312977099233</v>
      </c>
      <c r="I25" s="210">
        <f t="shared" si="5"/>
        <v>44.244580152671759</v>
      </c>
      <c r="J25" s="230">
        <f t="shared" si="6"/>
        <v>53.080622540400235</v>
      </c>
      <c r="K25" s="230">
        <f t="shared" si="7"/>
        <v>60.663568617600269</v>
      </c>
      <c r="L25" s="351">
        <f t="shared" si="8"/>
        <v>68.246514694800297</v>
      </c>
    </row>
    <row r="26" spans="1:12" ht="13.8" thickBot="1" x14ac:dyDescent="0.3">
      <c r="A26" s="209"/>
      <c r="B26" s="222"/>
      <c r="C26" s="223"/>
      <c r="D26" s="221"/>
      <c r="E26" s="218" t="s">
        <v>218</v>
      </c>
      <c r="F26" s="219">
        <f>SUM(F22:F25)/4</f>
        <v>52.427570748108707</v>
      </c>
      <c r="G26" s="186"/>
      <c r="H26" s="109"/>
      <c r="I26" s="220">
        <f>SUM(I22:I25)/4</f>
        <v>58.812900763358769</v>
      </c>
      <c r="J26" s="231">
        <f>SUM(J22:J25)/4</f>
        <v>70.558368395712961</v>
      </c>
      <c r="K26" s="231">
        <f>SUM(K22:K25)/4</f>
        <v>80.638135309386243</v>
      </c>
      <c r="L26" s="352">
        <f t="shared" si="8"/>
        <v>90.717902223059511</v>
      </c>
    </row>
    <row r="28" spans="1:12" x14ac:dyDescent="0.25">
      <c r="J28" s="74">
        <f>J14/I14</f>
        <v>1.199709034580926</v>
      </c>
      <c r="K28" s="74">
        <f>K14/I14</f>
        <v>1.3710960395210583</v>
      </c>
      <c r="L28">
        <f>L14/I14</f>
        <v>1.5424830444611906</v>
      </c>
    </row>
    <row r="29" spans="1:12" x14ac:dyDescent="0.25">
      <c r="A29" s="81" t="s">
        <v>130</v>
      </c>
    </row>
    <row r="30" spans="1:12" x14ac:dyDescent="0.25">
      <c r="A30" s="388" t="s">
        <v>38</v>
      </c>
    </row>
    <row r="31" spans="1:12" x14ac:dyDescent="0.25">
      <c r="A31" s="373"/>
    </row>
    <row r="32" spans="1:12" x14ac:dyDescent="0.25">
      <c r="A32" s="388" t="s">
        <v>19</v>
      </c>
    </row>
    <row r="33" spans="1:1" x14ac:dyDescent="0.25">
      <c r="A33" s="373" t="s">
        <v>109</v>
      </c>
    </row>
    <row r="34" spans="1:1" x14ac:dyDescent="0.25">
      <c r="A34" s="373"/>
    </row>
    <row r="35" spans="1:1" x14ac:dyDescent="0.25">
      <c r="A35" s="373" t="s">
        <v>110</v>
      </c>
    </row>
    <row r="36" spans="1:1" x14ac:dyDescent="0.25">
      <c r="A36" s="373"/>
    </row>
    <row r="37" spans="1:1" x14ac:dyDescent="0.25">
      <c r="A37" s="373" t="s">
        <v>111</v>
      </c>
    </row>
    <row r="38" spans="1:1" x14ac:dyDescent="0.25">
      <c r="A38" s="373"/>
    </row>
    <row r="39" spans="1:1" x14ac:dyDescent="0.25">
      <c r="A39" s="373" t="s">
        <v>112</v>
      </c>
    </row>
    <row r="40" spans="1:1" x14ac:dyDescent="0.25">
      <c r="A40" s="373"/>
    </row>
    <row r="41" spans="1:1" x14ac:dyDescent="0.25">
      <c r="A41" s="373" t="s">
        <v>113</v>
      </c>
    </row>
    <row r="42" spans="1:1" x14ac:dyDescent="0.25">
      <c r="A42" s="373"/>
    </row>
    <row r="43" spans="1:1" x14ac:dyDescent="0.25">
      <c r="A43" s="373" t="s">
        <v>114</v>
      </c>
    </row>
    <row r="44" spans="1:1" x14ac:dyDescent="0.25">
      <c r="A44" s="373"/>
    </row>
    <row r="45" spans="1:1" x14ac:dyDescent="0.25">
      <c r="A45" s="373" t="s">
        <v>115</v>
      </c>
    </row>
    <row r="46" spans="1:1" x14ac:dyDescent="0.25">
      <c r="A46" s="373" t="s">
        <v>116</v>
      </c>
    </row>
    <row r="47" spans="1:1" x14ac:dyDescent="0.25">
      <c r="A47" s="373"/>
    </row>
    <row r="48" spans="1:1" x14ac:dyDescent="0.25">
      <c r="A48" s="373" t="s">
        <v>117</v>
      </c>
    </row>
    <row r="49" spans="1:1" x14ac:dyDescent="0.25">
      <c r="A49" s="373" t="s">
        <v>118</v>
      </c>
    </row>
    <row r="50" spans="1:1" x14ac:dyDescent="0.25">
      <c r="A50" s="373"/>
    </row>
    <row r="51" spans="1:1" x14ac:dyDescent="0.25">
      <c r="A51" s="373" t="s">
        <v>88</v>
      </c>
    </row>
  </sheetData>
  <mergeCells count="6">
    <mergeCell ref="C3:D3"/>
    <mergeCell ref="G11:L11"/>
    <mergeCell ref="G12:L12"/>
    <mergeCell ref="B12:C12"/>
    <mergeCell ref="D11:F11"/>
    <mergeCell ref="D12:F12"/>
  </mergeCells>
  <phoneticPr fontId="0" type="noConversion"/>
  <hyperlinks>
    <hyperlink ref="A49" r:id="rId1" display="http://www.nal.usda.gov/fnic/foodcomp/Data/SR17/wtrank/wt_rank.html"/>
  </hyperlinks>
  <pageMargins left="0.75" right="0.75" top="1" bottom="1" header="0.5" footer="0.5"/>
  <pageSetup paperSize="5" scale="50" orientation="landscape" r:id="rId2"/>
  <headerFooter alignWithMargins="0">
    <oddFooter>&amp;L&amp;"Arial,Italic" 7/02/07&amp;C&amp;"Arial,Italic"&amp;A&amp;R&amp;"Arial,Italic"NJAES Report 2007-1 ©2007
New Jersey Agricultural Experiment Station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52"/>
  <sheetViews>
    <sheetView workbookViewId="0">
      <selection activeCell="L42" sqref="L42"/>
    </sheetView>
  </sheetViews>
  <sheetFormatPr defaultColWidth="8.88671875" defaultRowHeight="13.2" x14ac:dyDescent="0.25"/>
  <cols>
    <col min="1" max="1" width="17.33203125" customWidth="1"/>
    <col min="2" max="2" width="10.33203125" customWidth="1"/>
    <col min="3" max="3" width="11.88671875" bestFit="1" customWidth="1"/>
    <col min="4" max="4" width="10.44140625" bestFit="1" customWidth="1"/>
    <col min="5" max="5" width="10" customWidth="1"/>
    <col min="6" max="6" width="11.33203125" customWidth="1"/>
    <col min="7" max="7" width="9.33203125" customWidth="1"/>
    <col min="8" max="8" width="11.44140625" customWidth="1"/>
    <col min="9" max="9" width="11.33203125" customWidth="1"/>
    <col min="10" max="10" width="9.44140625" bestFit="1" customWidth="1"/>
    <col min="11" max="15" width="8.88671875" customWidth="1"/>
    <col min="16" max="16" width="12.88671875" bestFit="1" customWidth="1"/>
  </cols>
  <sheetData>
    <row r="1" spans="1:12" ht="13.8" thickBot="1" x14ac:dyDescent="0.3">
      <c r="A1" s="80" t="s">
        <v>165</v>
      </c>
    </row>
    <row r="2" spans="1:12" ht="12.75" customHeight="1" x14ac:dyDescent="0.25">
      <c r="A2" s="1164" t="s">
        <v>322</v>
      </c>
      <c r="B2" s="1161" t="s">
        <v>166</v>
      </c>
      <c r="C2" s="1170" t="s">
        <v>216</v>
      </c>
      <c r="D2" s="1166" t="s">
        <v>215</v>
      </c>
      <c r="E2" s="1172" t="s">
        <v>212</v>
      </c>
      <c r="F2" s="1173"/>
      <c r="G2" s="1174"/>
      <c r="H2" s="1161" t="s">
        <v>163</v>
      </c>
      <c r="I2" s="1161" t="s">
        <v>221</v>
      </c>
      <c r="J2" s="1161" t="s">
        <v>222</v>
      </c>
    </row>
    <row r="3" spans="1:12" ht="26.25" customHeight="1" thickBot="1" x14ac:dyDescent="0.3">
      <c r="A3" s="1165"/>
      <c r="B3" s="1162"/>
      <c r="C3" s="1171"/>
      <c r="D3" s="1167"/>
      <c r="E3" s="154" t="s">
        <v>213</v>
      </c>
      <c r="F3" s="275" t="s">
        <v>124</v>
      </c>
      <c r="G3" s="274" t="s">
        <v>214</v>
      </c>
      <c r="H3" s="1163" t="s">
        <v>217</v>
      </c>
      <c r="I3" s="1162" t="s">
        <v>217</v>
      </c>
      <c r="J3" s="1162" t="s">
        <v>217</v>
      </c>
    </row>
    <row r="4" spans="1:12" x14ac:dyDescent="0.25">
      <c r="A4" s="164" t="s">
        <v>403</v>
      </c>
      <c r="B4" s="153">
        <f>Atlantic!$C$11</f>
        <v>2548.5675999999999</v>
      </c>
      <c r="C4" s="153">
        <f>Atlantic!$C$29</f>
        <v>118397.15833333334</v>
      </c>
      <c r="D4" s="155">
        <f>Atlantic!$C$49</f>
        <v>1234.7412632500002</v>
      </c>
      <c r="E4" s="284">
        <f>SUM(Atlantic!$C$37:$C$42)</f>
        <v>37946.602499999994</v>
      </c>
      <c r="F4" s="277">
        <f>SUM(Atlantic!$C$32:$C$33)</f>
        <v>52858.950476400008</v>
      </c>
      <c r="G4" s="280">
        <f>Atlantic!$C$35</f>
        <v>20944.182400000005</v>
      </c>
      <c r="H4" s="155">
        <f>Atlantic!$C$61+Atlantic!$C$63*'Energy Content Assumptions'!$B$66+Atlantic!$C$64*'Energy Content Assumptions'!$B$67</f>
        <v>44008.839134607006</v>
      </c>
      <c r="I4" s="167">
        <f>SUM(B4:H4)</f>
        <v>277939.04170759034</v>
      </c>
      <c r="J4" s="167">
        <f>I4/'Biomass Data Assumptions'!N7</f>
        <v>495.43501195648901</v>
      </c>
      <c r="L4" t="s">
        <v>154</v>
      </c>
    </row>
    <row r="5" spans="1:12" x14ac:dyDescent="0.25">
      <c r="A5" s="164" t="s">
        <v>325</v>
      </c>
      <c r="B5" s="152">
        <f>Bergen!$C$11</f>
        <v>4.2644000000000002</v>
      </c>
      <c r="C5" s="152">
        <f>Bergen!$C$29</f>
        <v>93737.097499999989</v>
      </c>
      <c r="D5" s="152">
        <f>Bergen!$C$49</f>
        <v>3687.6688630000003</v>
      </c>
      <c r="E5" s="285">
        <f>SUM(Bergen!$C$37:$C$42)</f>
        <v>166837.16649999999</v>
      </c>
      <c r="F5" s="276">
        <f>SUM(Bergen!$C$32:$C$33)</f>
        <v>121583.78069400002</v>
      </c>
      <c r="G5" s="281">
        <f>Bergen!$C$35</f>
        <v>86592.899200000014</v>
      </c>
      <c r="H5" s="153">
        <f>Bergen!$C$61+Bergen!$C$63*'Energy Content Assumptions'!$B$66+Bergen!$C$64*'Energy Content Assumptions'!$B$67</f>
        <v>57511.755660549999</v>
      </c>
      <c r="I5" s="167">
        <f t="shared" ref="I5:I24" si="0">SUM(B5:H5)</f>
        <v>529954.63281754998</v>
      </c>
      <c r="J5" s="167">
        <f>I5/'Biomass Data Assumptions'!N8</f>
        <v>2264.7633881091879</v>
      </c>
    </row>
    <row r="6" spans="1:12" x14ac:dyDescent="0.25">
      <c r="A6" s="164" t="s">
        <v>328</v>
      </c>
      <c r="B6" s="152">
        <f>Burlington!$C$11</f>
        <v>32089.921600000001</v>
      </c>
      <c r="C6" s="152">
        <f>Burlington!$C$29</f>
        <v>214810.09</v>
      </c>
      <c r="D6" s="152">
        <f>Burlington!$C$49</f>
        <v>21042.6544995</v>
      </c>
      <c r="E6" s="285">
        <f>SUM(Burlington!$C$37:$C$42)</f>
        <v>77961.870500000005</v>
      </c>
      <c r="F6" s="276">
        <f>SUM(Burlington!$C$32:$C$33)</f>
        <v>62218.901417999994</v>
      </c>
      <c r="G6" s="281">
        <f>Burlington!$C$35</f>
        <v>23711.446400000004</v>
      </c>
      <c r="H6" s="153">
        <f>Burlington!$C$61+Burlington!$C$63*'Energy Content Assumptions'!$B$66+Burlington!$C$64*'Energy Content Assumptions'!$B$67</f>
        <v>73816.393693817212</v>
      </c>
      <c r="I6" s="167">
        <f t="shared" si="0"/>
        <v>505651.27811131725</v>
      </c>
      <c r="J6" s="167">
        <f>I6/'Biomass Data Assumptions'!N9</f>
        <v>628.13823367865496</v>
      </c>
    </row>
    <row r="7" spans="1:12" x14ac:dyDescent="0.25">
      <c r="A7" s="164" t="s">
        <v>331</v>
      </c>
      <c r="B7" s="152">
        <f>Camden!$C$11</f>
        <v>2443.7939999999999</v>
      </c>
      <c r="C7" s="152">
        <f>Camden!$C$29</f>
        <v>73270.317500000005</v>
      </c>
      <c r="D7" s="152">
        <f>Camden!$C$49</f>
        <v>2279.0070322500001</v>
      </c>
      <c r="E7" s="285">
        <f>SUM(Camden!$C$37:$C$42)</f>
        <v>75827.284499999994</v>
      </c>
      <c r="F7" s="276">
        <f>SUM(Camden!$C$32:$C$33)</f>
        <v>18831.419592899998</v>
      </c>
      <c r="G7" s="281">
        <f>Camden!$C$35</f>
        <v>20582.972800000003</v>
      </c>
      <c r="H7" s="153">
        <f>Camden!$C$61+Camden!$C$63*'Energy Content Assumptions'!$B$66+Camden!$C$64*'Energy Content Assumptions'!$B$67</f>
        <v>15961.969223522272</v>
      </c>
      <c r="I7" s="167">
        <f t="shared" si="0"/>
        <v>209196.76464867228</v>
      </c>
      <c r="J7" s="167">
        <f>I7/'Biomass Data Assumptions'!N10</f>
        <v>942.32776868771293</v>
      </c>
    </row>
    <row r="8" spans="1:12" x14ac:dyDescent="0.25">
      <c r="A8" s="164" t="s">
        <v>333</v>
      </c>
      <c r="B8" s="152">
        <f>'Cape May'!C11</f>
        <v>772.41560000000004</v>
      </c>
      <c r="C8" s="152">
        <f>'Cape May'!$C$29</f>
        <v>90166.833333333343</v>
      </c>
      <c r="D8" s="152">
        <f>'Cape May'!$C$49</f>
        <v>396.28192625000003</v>
      </c>
      <c r="E8" s="285">
        <f>SUM('Cape May'!$C$37:$C$42)</f>
        <v>22539.174000000003</v>
      </c>
      <c r="F8" s="276">
        <f>SUM('Cape May'!$C$32:$C$33)</f>
        <v>20250.483793200001</v>
      </c>
      <c r="G8" s="281">
        <f>'Cape May'!$C$35</f>
        <v>21896.950400000002</v>
      </c>
      <c r="H8" s="153">
        <f>'Cape May'!$C$61+'Cape May'!$C$63*'Energy Content Assumptions'!$B$66+'Cape May'!$C$64*'Energy Content Assumptions'!$B$67</f>
        <v>26437.219770118747</v>
      </c>
      <c r="I8" s="167">
        <f t="shared" si="0"/>
        <v>182459.35882290208</v>
      </c>
      <c r="J8" s="167">
        <f>I8/'Biomass Data Assumptions'!N11</f>
        <v>715.52689734471403</v>
      </c>
    </row>
    <row r="9" spans="1:12" x14ac:dyDescent="0.25">
      <c r="A9" s="164" t="s">
        <v>335</v>
      </c>
      <c r="B9" s="152">
        <f>Cumberland!$C$11</f>
        <v>27282.040399999998</v>
      </c>
      <c r="C9" s="152">
        <f>Cumberland!$C$29</f>
        <v>128487.38666666666</v>
      </c>
      <c r="D9" s="152">
        <f>Cumberland!$C$49</f>
        <v>8858.7616765000002</v>
      </c>
      <c r="E9" s="285">
        <f>SUM(Cumberland!$C$37:$C$42)</f>
        <v>34772.178</v>
      </c>
      <c r="F9" s="276">
        <f>SUM(Cumberland!$C$32:$C$33)</f>
        <v>25318.309250400001</v>
      </c>
      <c r="G9" s="281">
        <f>Cumberland!$C$35</f>
        <v>6815.2128000000012</v>
      </c>
      <c r="H9" s="153">
        <f>Cumberland!$C$61+Cumberland!$C$63*'Energy Content Assumptions'!$B$66+Cumberland!$C$64*'Energy Content Assumptions'!$B$67</f>
        <v>14478.095030112499</v>
      </c>
      <c r="I9" s="167">
        <f t="shared" si="0"/>
        <v>246011.98382367915</v>
      </c>
      <c r="J9" s="167">
        <f>I9/'Biomass Data Assumptions'!N12</f>
        <v>503.09199145946656</v>
      </c>
    </row>
    <row r="10" spans="1:12" x14ac:dyDescent="0.25">
      <c r="A10" s="164" t="s">
        <v>336</v>
      </c>
      <c r="B10" s="152">
        <f>Essex!$C$11</f>
        <v>0</v>
      </c>
      <c r="C10" s="152">
        <f>Essex!$C$29</f>
        <v>40659.395000000004</v>
      </c>
      <c r="D10" s="152">
        <f>Essex!$C$49</f>
        <v>3194.08569825</v>
      </c>
      <c r="E10" s="285">
        <f>SUM(Essex!$C$37:$C$42)</f>
        <v>112229.36249999999</v>
      </c>
      <c r="F10" s="276">
        <f>SUM(Essex!$C$33:$C$34)</f>
        <v>31364.220226999991</v>
      </c>
      <c r="G10" s="281">
        <f>Essex!$C$35</f>
        <v>19283.440000000002</v>
      </c>
      <c r="H10" s="153">
        <f>Essex!$C$61+Essex!$C$63*'Energy Content Assumptions'!$B$66+Essex!$C$64*'Energy Content Assumptions'!$B$67</f>
        <v>42979.802880475007</v>
      </c>
      <c r="I10" s="167">
        <f t="shared" si="0"/>
        <v>249710.30630572498</v>
      </c>
      <c r="J10" s="167">
        <f>I10/'Biomass Data Assumptions'!N13</f>
        <v>1981.8278278232142</v>
      </c>
    </row>
    <row r="11" spans="1:12" x14ac:dyDescent="0.25">
      <c r="A11" s="164" t="s">
        <v>337</v>
      </c>
      <c r="B11" s="152">
        <f>Gloucester!$C$11</f>
        <v>18272.194800000001</v>
      </c>
      <c r="C11" s="152">
        <f>Gloucester!$C$29</f>
        <v>81806.846666666665</v>
      </c>
      <c r="D11" s="152">
        <f>Gloucester!$C$49</f>
        <v>9405.5973840000024</v>
      </c>
      <c r="E11" s="285">
        <f>SUM(Gloucester!$C$37:$C$42)</f>
        <v>76845.582500000004</v>
      </c>
      <c r="F11" s="276">
        <f>SUM(Gloucester!$C$32:$C$33)</f>
        <v>5647.1168916000006</v>
      </c>
      <c r="G11" s="281">
        <f>Gloucester!$C$35</f>
        <v>10686.140800000001</v>
      </c>
      <c r="H11" s="153">
        <f>Gloucester!$C$61+Gloucester!$C$63*'Energy Content Assumptions'!$B$66+Gloucester!$C$64*'Energy Content Assumptions'!$B$67</f>
        <v>110725.16042556248</v>
      </c>
      <c r="I11" s="167">
        <f t="shared" si="0"/>
        <v>313388.63946782914</v>
      </c>
      <c r="J11" s="167">
        <f>I11/'Biomass Data Assumptions'!N14</f>
        <v>964.27273682408963</v>
      </c>
    </row>
    <row r="12" spans="1:12" x14ac:dyDescent="0.25">
      <c r="A12" s="164" t="s">
        <v>338</v>
      </c>
      <c r="B12" s="152">
        <f>Hudson!$C$11</f>
        <v>0</v>
      </c>
      <c r="C12" s="152">
        <f>Hudson!$C$29</f>
        <v>4128.5766666666659</v>
      </c>
      <c r="D12" s="152">
        <f>Hudson!$C$49</f>
        <v>2584.1582505000001</v>
      </c>
      <c r="E12" s="285">
        <f>SUM(Hudson!$C$37:$C$42)</f>
        <v>114940.1395</v>
      </c>
      <c r="F12" s="276">
        <f>SUM(Hudson!$C$32:$C$33)</f>
        <v>82094.272364400007</v>
      </c>
      <c r="G12" s="281">
        <f>Hudson!$C$35</f>
        <v>25802.438399999999</v>
      </c>
      <c r="H12" s="153">
        <f>Hudson!$C$61+Hudson!$C$63*'Energy Content Assumptions'!$B$66+Hudson!$C$64*'Energy Content Assumptions'!$B$67</f>
        <v>6010.1939985812505</v>
      </c>
      <c r="I12" s="167">
        <f t="shared" si="0"/>
        <v>235559.77918014792</v>
      </c>
      <c r="J12" s="167">
        <f>I12/'Biomass Data Assumptions'!N15</f>
        <v>5011.9101953222962</v>
      </c>
    </row>
    <row r="13" spans="1:12" x14ac:dyDescent="0.25">
      <c r="A13" s="164" t="s">
        <v>339</v>
      </c>
      <c r="B13" s="152">
        <f>Hunterdon!$C$11</f>
        <v>27925.648400000002</v>
      </c>
      <c r="C13" s="152">
        <f>Hunterdon!$C$29</f>
        <v>134938.16250000001</v>
      </c>
      <c r="D13" s="152">
        <f>Hunterdon!$C$49</f>
        <v>4712.3659132499997</v>
      </c>
      <c r="E13" s="285">
        <f>SUM(Hunterdon!$C$37:$C$42)</f>
        <v>16168.502500000002</v>
      </c>
      <c r="F13" s="276">
        <f>SUM(Hunterdon!$C$32:$C$33)</f>
        <v>10917.846992700002</v>
      </c>
      <c r="G13" s="281">
        <f>Hunterdon!$C$35</f>
        <v>8298.1792000000023</v>
      </c>
      <c r="H13" s="153">
        <f>Hunterdon!$C$61+Hunterdon!$C$63*'Energy Content Assumptions'!$B$66+Hunterdon!$C$64*'Energy Content Assumptions'!$B$67</f>
        <v>26955.970025046878</v>
      </c>
      <c r="I13" s="167">
        <f t="shared" si="0"/>
        <v>229916.6755309969</v>
      </c>
      <c r="J13" s="167">
        <f>I13/'Biomass Data Assumptions'!N16</f>
        <v>534.68994309534162</v>
      </c>
    </row>
    <row r="14" spans="1:12" x14ac:dyDescent="0.25">
      <c r="A14" s="164" t="s">
        <v>340</v>
      </c>
      <c r="B14" s="152">
        <f>Mercer!$C$11</f>
        <v>8511.2288000000008</v>
      </c>
      <c r="C14" s="152">
        <f>Mercer!$C$29</f>
        <v>119708.63166666668</v>
      </c>
      <c r="D14" s="152">
        <f>Mercer!$C$49</f>
        <v>5335.185590250001</v>
      </c>
      <c r="E14" s="285">
        <f>SUM(Mercer!$C$37:$C$42)</f>
        <v>70080.870999999999</v>
      </c>
      <c r="F14" s="276">
        <f>SUM(Mercer!$C$32:$C$33)</f>
        <v>52460.922363299993</v>
      </c>
      <c r="G14" s="281">
        <f>Mercer!$C$35</f>
        <v>20757.116800000003</v>
      </c>
      <c r="H14" s="153">
        <f>Mercer!$C$61+Mercer!$C$63*'Energy Content Assumptions'!$B$66+Mercer!$C$64*'Energy Content Assumptions'!$B$67</f>
        <v>23183.314734478125</v>
      </c>
      <c r="I14" s="167">
        <f t="shared" si="0"/>
        <v>300037.27095469483</v>
      </c>
      <c r="J14" s="167">
        <f>I14/'Biomass Data Assumptions'!N17</f>
        <v>1327.5985440473223</v>
      </c>
    </row>
    <row r="15" spans="1:12" x14ac:dyDescent="0.25">
      <c r="A15" s="164" t="s">
        <v>341</v>
      </c>
      <c r="B15" s="152">
        <f>Middlesex!$C$11</f>
        <v>9512.9772000000012</v>
      </c>
      <c r="C15" s="152">
        <f>Middlesex!$C$29</f>
        <v>73388.464999999982</v>
      </c>
      <c r="D15" s="152">
        <f>Middlesex!$C$49</f>
        <v>6790.1239565000005</v>
      </c>
      <c r="E15" s="285">
        <f>SUM(Middlesex!$C$37:$C$42)</f>
        <v>197132.77750000003</v>
      </c>
      <c r="F15" s="276">
        <f>SUM(Middlesex!$C$32:$C$33)</f>
        <v>118962.77977650001</v>
      </c>
      <c r="G15" s="281">
        <f>Middlesex!$C$35</f>
        <v>31407.497599999999</v>
      </c>
      <c r="H15" s="153">
        <f>Middlesex!$C$61+Middlesex!$C$63*'Energy Content Assumptions'!$B$66+Middlesex!$C$64*'Energy Content Assumptions'!$B$67</f>
        <v>84324.668687385172</v>
      </c>
      <c r="I15" s="167">
        <f t="shared" si="0"/>
        <v>521519.28972038516</v>
      </c>
      <c r="J15" s="167">
        <f>I15/'Biomass Data Assumptions'!N18</f>
        <v>1676.9108994224603</v>
      </c>
    </row>
    <row r="16" spans="1:12" x14ac:dyDescent="0.25">
      <c r="A16" s="164" t="s">
        <v>342</v>
      </c>
      <c r="B16" s="152">
        <f>Monmouth!$C$11</f>
        <v>9428.0999999999985</v>
      </c>
      <c r="C16" s="152">
        <f>Monmouth!$C$29</f>
        <v>125283.12666666666</v>
      </c>
      <c r="D16" s="152">
        <f>Monmouth!$C$49</f>
        <v>7489.2857150000009</v>
      </c>
      <c r="E16" s="285">
        <f>SUM(Monmouth!$C$37:$C$42)</f>
        <v>99977.147000000026</v>
      </c>
      <c r="F16" s="276">
        <f>SUM(Monmouth!$C$32:$C$33)</f>
        <v>95622.464270700002</v>
      </c>
      <c r="G16" s="281">
        <f>Monmouth!$C$35</f>
        <v>64421.347200000011</v>
      </c>
      <c r="H16" s="153">
        <f>Monmouth!$C$61+Monmouth!$C$63*'Energy Content Assumptions'!$B$66+Monmouth!$C$64*'Energy Content Assumptions'!$B$67</f>
        <v>50291.713145818743</v>
      </c>
      <c r="I16" s="167">
        <f t="shared" si="0"/>
        <v>452513.18399818544</v>
      </c>
      <c r="J16" s="167">
        <f>I16/'Biomass Data Assumptions'!N19</f>
        <v>958.71437287751155</v>
      </c>
    </row>
    <row r="17" spans="1:16" x14ac:dyDescent="0.25">
      <c r="A17" s="165" t="s">
        <v>343</v>
      </c>
      <c r="B17" s="152">
        <f>Morris!$C$11</f>
        <v>3296.5652</v>
      </c>
      <c r="C17" s="152">
        <f>Morris!$C$29</f>
        <v>113251.15083333332</v>
      </c>
      <c r="D17" s="152">
        <f>Morris!$C$49</f>
        <v>2238.9354930000004</v>
      </c>
      <c r="E17" s="285">
        <f>SUM(Morris!$C$37:$C$42)</f>
        <v>101477.8955</v>
      </c>
      <c r="F17" s="276">
        <f>SUM(Morris!$C$32:$C$33)</f>
        <v>63018.739275599997</v>
      </c>
      <c r="G17" s="281">
        <f>Morris!$C$35</f>
        <v>19766.307200000003</v>
      </c>
      <c r="H17" s="153">
        <f>Morris!$C$61+Morris!$C$63*'Energy Content Assumptions'!$B$66+Morris!$C$64*'Energy Content Assumptions'!$B$67</f>
        <v>37238.827452912497</v>
      </c>
      <c r="I17" s="167">
        <f t="shared" si="0"/>
        <v>340288.42095484579</v>
      </c>
      <c r="J17" s="167">
        <f>I17/'Biomass Data Assumptions'!N20</f>
        <v>725.56166514892493</v>
      </c>
    </row>
    <row r="18" spans="1:16" x14ac:dyDescent="0.25">
      <c r="A18" s="164" t="s">
        <v>344</v>
      </c>
      <c r="B18" s="152">
        <f>Ocean!$C$11</f>
        <v>1006.876</v>
      </c>
      <c r="C18" s="152">
        <f>Ocean!$C$29</f>
        <v>158073.35416666666</v>
      </c>
      <c r="D18" s="152">
        <f>Ocean!$C$49</f>
        <v>2609.2380997500004</v>
      </c>
      <c r="E18" s="285">
        <f>SUM(Ocean!$C$37:$C$42)</f>
        <v>91930.809500000018</v>
      </c>
      <c r="F18" s="276">
        <f>SUM(Ocean!$C$32:$C$33)</f>
        <v>87131.137780199992</v>
      </c>
      <c r="G18" s="281">
        <f>Ocean!$C$35</f>
        <v>88560.502400000012</v>
      </c>
      <c r="H18" s="153">
        <f>Ocean!$C$61+Ocean!$C$63*'Energy Content Assumptions'!$B$66+Ocean!$C$64*'Energy Content Assumptions'!$B$67</f>
        <v>40517.471993834377</v>
      </c>
      <c r="I18" s="167">
        <f t="shared" si="0"/>
        <v>469829.38994045102</v>
      </c>
      <c r="J18" s="167">
        <f>I18/'Biomass Data Assumptions'!N21</f>
        <v>738.72545588121227</v>
      </c>
    </row>
    <row r="19" spans="1:16" x14ac:dyDescent="0.25">
      <c r="A19" s="164" t="s">
        <v>345</v>
      </c>
      <c r="B19" s="152">
        <f>Passaic!$C$11</f>
        <v>3.5</v>
      </c>
      <c r="C19" s="152">
        <f>Passaic!$C$29</f>
        <v>57969.090833333328</v>
      </c>
      <c r="D19" s="152">
        <f>Passaic!$C$49</f>
        <v>2042.1200305000002</v>
      </c>
      <c r="E19" s="285">
        <f>SUM(Passaic!$C$37:$C$42)</f>
        <v>104048.74100000001</v>
      </c>
      <c r="F19" s="276">
        <f>SUM(Passaic!$C$32:$C$33)</f>
        <v>74746.137726000001</v>
      </c>
      <c r="G19" s="281">
        <f>Passaic!$C$35</f>
        <v>50443.353600000009</v>
      </c>
      <c r="H19" s="153">
        <f>Passaic!$C$61+Passaic!$C$63*'Energy Content Assumptions'!$B$66+Passaic!$C$64*'Energy Content Assumptions'!$B$67</f>
        <v>4439.0325425718747</v>
      </c>
      <c r="I19" s="167">
        <f t="shared" si="0"/>
        <v>293691.97573240526</v>
      </c>
      <c r="J19" s="167">
        <f>I19/'Biomass Data Assumptions'!N22</f>
        <v>1587.5241931481366</v>
      </c>
    </row>
    <row r="20" spans="1:16" x14ac:dyDescent="0.25">
      <c r="A20" s="164" t="s">
        <v>346</v>
      </c>
      <c r="B20" s="152">
        <f>Salem!$C$11</f>
        <v>63270.227200000001</v>
      </c>
      <c r="C20" s="152">
        <f>Salem!$C$29</f>
        <v>118525.39250000002</v>
      </c>
      <c r="D20" s="152">
        <f>Salem!$C$49</f>
        <v>20589.558662750002</v>
      </c>
      <c r="E20" s="285">
        <f>SUM(Salem!$C$37:$C$42)</f>
        <v>7506.5125000000007</v>
      </c>
      <c r="F20" s="276">
        <f>SUM(Salem!$C$32:$C$33)</f>
        <v>8909.3137506000021</v>
      </c>
      <c r="G20" s="281">
        <f>Salem!$C$35</f>
        <v>2479.5776000000005</v>
      </c>
      <c r="H20" s="153">
        <f>Salem!$C$61+Salem!$C$63*'Energy Content Assumptions'!$B$66+Salem!$C$64*'Energy Content Assumptions'!$B$67</f>
        <v>33074.95217525</v>
      </c>
      <c r="I20" s="167">
        <f t="shared" si="0"/>
        <v>254355.53438860003</v>
      </c>
      <c r="J20" s="167">
        <f>I20/'Biomass Data Assumptions'!N23</f>
        <v>752.53116683017765</v>
      </c>
    </row>
    <row r="21" spans="1:16" x14ac:dyDescent="0.25">
      <c r="A21" s="164" t="s">
        <v>347</v>
      </c>
      <c r="B21" s="152">
        <f>Somerset!$C$11</f>
        <v>8088.4135999999999</v>
      </c>
      <c r="C21" s="152">
        <f>Somerset!$C$29</f>
        <v>50999.234999999993</v>
      </c>
      <c r="D21" s="152">
        <f>Somerset!$C$49</f>
        <v>2410.2717170000001</v>
      </c>
      <c r="E21" s="285">
        <f>SUM(Somerset!$C$37:$C$42)</f>
        <v>46273.167000000001</v>
      </c>
      <c r="F21" s="276">
        <f>SUM(Somerset!$C$32:$C$33)</f>
        <v>44404.956713699998</v>
      </c>
      <c r="G21" s="281">
        <f>Somerset!$C$35</f>
        <v>33212.150400000006</v>
      </c>
      <c r="H21" s="153">
        <f>Somerset!$C$61+Somerset!$C$63*'Energy Content Assumptions'!$B$66+Somerset!$C$64*'Energy Content Assumptions'!$B$67</f>
        <v>17305.876605031252</v>
      </c>
      <c r="I21" s="167">
        <f t="shared" si="0"/>
        <v>202694.07103573126</v>
      </c>
      <c r="J21" s="167">
        <f>I21/'Biomass Data Assumptions'!N24</f>
        <v>664.57072470731566</v>
      </c>
    </row>
    <row r="22" spans="1:16" x14ac:dyDescent="0.25">
      <c r="A22" s="164" t="s">
        <v>348</v>
      </c>
      <c r="B22" s="152">
        <f>Sussex!$C$11</f>
        <v>9413.5999999999985</v>
      </c>
      <c r="C22" s="152">
        <f>Sussex!$C$29</f>
        <v>151080.80583333332</v>
      </c>
      <c r="D22" s="152">
        <f>Sussex!$C$49</f>
        <v>642.7029262499999</v>
      </c>
      <c r="E22" s="285">
        <f>SUM(Sussex!$C$37:$C$42)</f>
        <v>15610.903</v>
      </c>
      <c r="F22" s="276">
        <f>SUM(Sussex!$C$32:$C$33)</f>
        <v>16756.104424500001</v>
      </c>
      <c r="G22" s="281">
        <f>Sussex!$C$35</f>
        <v>3522.5440000000003</v>
      </c>
      <c r="H22" s="153">
        <f>Sussex!$C$61+Sussex!$C$63*'Energy Content Assumptions'!$B$66+Sussex!$C$64*'Energy Content Assumptions'!$B$67</f>
        <v>27972.415374685294</v>
      </c>
      <c r="I22" s="167">
        <f t="shared" si="0"/>
        <v>224999.07555876859</v>
      </c>
      <c r="J22" s="167">
        <f>I22/'Biomass Data Assumptions'!N25</f>
        <v>431.86002986327941</v>
      </c>
    </row>
    <row r="23" spans="1:16" x14ac:dyDescent="0.25">
      <c r="A23" s="164" t="s">
        <v>349</v>
      </c>
      <c r="B23" s="152">
        <f>Union!$C$11</f>
        <v>0</v>
      </c>
      <c r="C23" s="152">
        <f>Union!$C$29</f>
        <v>36022.504999999997</v>
      </c>
      <c r="D23" s="152">
        <f>Union!$C$49</f>
        <v>2185.83105075</v>
      </c>
      <c r="E23" s="285">
        <f>SUM(Union!$C$37:$C$42)</f>
        <v>43599.707999999999</v>
      </c>
      <c r="F23" s="276">
        <f>SUM(Union!$C$32:$C$33)</f>
        <v>6355.5642554999977</v>
      </c>
      <c r="G23" s="281">
        <f>Union!$C$35</f>
        <v>22937.728000000003</v>
      </c>
      <c r="H23" s="153">
        <f>Union!$C$61+Union!$C$63*'Energy Content Assumptions'!$B$66+Union!$C$64*'Energy Content Assumptions'!$B$67</f>
        <v>15207.575445499999</v>
      </c>
      <c r="I23" s="167">
        <f t="shared" si="0"/>
        <v>126308.91175175</v>
      </c>
      <c r="J23" s="167">
        <f>I23/'Biomass Data Assumptions'!N26</f>
        <v>1226.3001140946601</v>
      </c>
    </row>
    <row r="24" spans="1:16" ht="13.8" thickBot="1" x14ac:dyDescent="0.3">
      <c r="A24" s="166" t="s">
        <v>350</v>
      </c>
      <c r="B24" s="168">
        <f>Warren!$C$11</f>
        <v>51379.524400000002</v>
      </c>
      <c r="C24" s="168">
        <f>Warren!$C$29</f>
        <v>139757.16916666663</v>
      </c>
      <c r="D24" s="168">
        <f>Warren!$C$49</f>
        <v>4950.9983809999994</v>
      </c>
      <c r="E24" s="286">
        <f>SUM(Warren!$C$37:$C$42)</f>
        <v>11292.907999999999</v>
      </c>
      <c r="F24" s="278">
        <f>SUM(Warren!$C$32:$C$33)</f>
        <v>3323.6652464999988</v>
      </c>
      <c r="G24" s="282">
        <f>Warren!$C$35</f>
        <v>873.83360000000016</v>
      </c>
      <c r="H24" s="283">
        <f>Warren!$C$61+Warren!$C$63*'Energy Content Assumptions'!$B$66+Warren!$C$64*'Energy Content Assumptions'!$B$67</f>
        <v>36729.06507425</v>
      </c>
      <c r="I24" s="168">
        <f t="shared" si="0"/>
        <v>248307.16386841662</v>
      </c>
      <c r="J24" s="168">
        <f>I24/'Biomass Data Assumptions'!N27</f>
        <v>693.59542980004642</v>
      </c>
    </row>
    <row r="25" spans="1:16" ht="14.4" thickTop="1" thickBot="1" x14ac:dyDescent="0.3">
      <c r="A25" s="162" t="s">
        <v>220</v>
      </c>
      <c r="B25" s="163">
        <f t="shared" ref="B25:I25" si="1">SUM(B4:B24)</f>
        <v>275249.85920000001</v>
      </c>
      <c r="C25" s="163">
        <f t="shared" si="1"/>
        <v>2124460.7908333335</v>
      </c>
      <c r="D25" s="163">
        <f t="shared" si="1"/>
        <v>114679.5741295</v>
      </c>
      <c r="E25" s="142">
        <f t="shared" si="1"/>
        <v>1524999.3030000003</v>
      </c>
      <c r="F25" s="142">
        <f t="shared" si="1"/>
        <v>1002777.0872837001</v>
      </c>
      <c r="G25" s="279">
        <f t="shared" si="1"/>
        <v>582995.8208000001</v>
      </c>
      <c r="H25" s="163">
        <f t="shared" si="1"/>
        <v>789170.31307411066</v>
      </c>
      <c r="I25" s="163">
        <f t="shared" si="1"/>
        <v>6414332.7483206447</v>
      </c>
      <c r="J25" s="163">
        <f>I25/'Biomass Data Assumptions'!N28</f>
        <v>864.69840230798661</v>
      </c>
      <c r="K25" s="292" t="str">
        <f>'Bioenergy Calculator'!H75</f>
        <v>no</v>
      </c>
      <c r="L25" s="293" t="s">
        <v>170</v>
      </c>
      <c r="M25" s="293"/>
    </row>
    <row r="28" spans="1:16" ht="13.8" thickBot="1" x14ac:dyDescent="0.3">
      <c r="A28" s="80" t="s">
        <v>153</v>
      </c>
      <c r="B28" s="264" t="s">
        <v>154</v>
      </c>
    </row>
    <row r="29" spans="1:16" ht="12.75" customHeight="1" x14ac:dyDescent="0.25">
      <c r="A29" s="1164" t="s">
        <v>322</v>
      </c>
      <c r="B29" s="1161" t="s">
        <v>166</v>
      </c>
      <c r="C29" s="1170" t="s">
        <v>216</v>
      </c>
      <c r="D29" s="1166" t="s">
        <v>215</v>
      </c>
      <c r="E29" s="1172" t="s">
        <v>212</v>
      </c>
      <c r="F29" s="1173"/>
      <c r="G29" s="1173"/>
      <c r="H29" s="1161" t="s">
        <v>163</v>
      </c>
      <c r="I29" s="1161" t="s">
        <v>221</v>
      </c>
      <c r="J29" s="1168"/>
    </row>
    <row r="30" spans="1:16" ht="27" customHeight="1" thickBot="1" x14ac:dyDescent="0.3">
      <c r="A30" s="1165"/>
      <c r="B30" s="1162"/>
      <c r="C30" s="1171"/>
      <c r="D30" s="1167"/>
      <c r="E30" s="154" t="s">
        <v>213</v>
      </c>
      <c r="F30" s="275" t="s">
        <v>124</v>
      </c>
      <c r="G30" s="274" t="s">
        <v>214</v>
      </c>
      <c r="H30" s="1162" t="s">
        <v>217</v>
      </c>
      <c r="I30" s="1162" t="s">
        <v>217</v>
      </c>
      <c r="J30" s="1169"/>
      <c r="P30" s="265"/>
    </row>
    <row r="31" spans="1:16" x14ac:dyDescent="0.25">
      <c r="A31" s="164" t="s">
        <v>403</v>
      </c>
      <c r="B31" s="153">
        <f>Atlantic!$E$11</f>
        <v>0</v>
      </c>
      <c r="C31" s="153">
        <f>Atlantic!$E$29</f>
        <v>68986.92333333334</v>
      </c>
      <c r="D31" s="155">
        <f>Atlantic!$E$49</f>
        <v>721.33463325000002</v>
      </c>
      <c r="E31" s="284">
        <f>SUM(Atlantic!$E$37:$E$42)</f>
        <v>8698.9415000000008</v>
      </c>
      <c r="F31" s="277">
        <f>SUM(Atlantic!$E$32:$E$33)</f>
        <v>40032.263262240012</v>
      </c>
      <c r="G31" s="280">
        <f>Atlantic!$E$35</f>
        <v>13404.276736000005</v>
      </c>
      <c r="H31" s="155">
        <f>Atlantic!$E$61+Atlantic!$E$63*'Energy Content Assumptions'!$B$66+Atlantic!$E$64*'Energy Content Assumptions'!$B$67</f>
        <v>42364.062045607003</v>
      </c>
      <c r="I31" s="167">
        <f t="shared" ref="I31:I51" si="2">SUM(B31:H31)</f>
        <v>174207.80151043035</v>
      </c>
      <c r="J31" s="31"/>
    </row>
    <row r="32" spans="1:16" x14ac:dyDescent="0.25">
      <c r="A32" s="164" t="s">
        <v>325</v>
      </c>
      <c r="B32" s="152">
        <f>Bergen!$E$11</f>
        <v>0</v>
      </c>
      <c r="C32" s="152">
        <f>Bergen!$E$29</f>
        <v>87855.133749999994</v>
      </c>
      <c r="D32" s="152">
        <f>Bergen!$E$49</f>
        <v>1995.1019430000001</v>
      </c>
      <c r="E32" s="285">
        <f>SUM(Bergen!$E$37:$E$42)</f>
        <v>26375.605500000001</v>
      </c>
      <c r="F32" s="276">
        <f>SUM(Bergen!$E$32:$E$33)</f>
        <v>92080.411610400013</v>
      </c>
      <c r="G32" s="281">
        <f>Bergen!$E$35</f>
        <v>55419.455488000021</v>
      </c>
      <c r="H32" s="153">
        <f>Bergen!$E$61+Bergen!$E$63*'Energy Content Assumptions'!$B$66+Bergen!$E$64*'Energy Content Assumptions'!$B$67</f>
        <v>56952.557118550001</v>
      </c>
      <c r="I32" s="167">
        <f t="shared" si="2"/>
        <v>320678.26540995005</v>
      </c>
      <c r="J32" s="31"/>
    </row>
    <row r="33" spans="1:11" x14ac:dyDescent="0.25">
      <c r="A33" s="164" t="s">
        <v>328</v>
      </c>
      <c r="B33" s="152">
        <f>Burlington!$E$11</f>
        <v>0</v>
      </c>
      <c r="C33" s="152">
        <f>Burlington!$E$29</f>
        <v>129358.56625000002</v>
      </c>
      <c r="D33" s="152">
        <f>Burlington!$E$49</f>
        <v>20203.521919500003</v>
      </c>
      <c r="E33" s="285">
        <f>SUM(Burlington!$E$37:$E$42)</f>
        <v>8155.8085000000001</v>
      </c>
      <c r="F33" s="276">
        <f>SUM(Burlington!$E$32:$E$33)</f>
        <v>46664.176063499996</v>
      </c>
      <c r="G33" s="281">
        <f>Burlington!$E$35</f>
        <v>15175.325696000005</v>
      </c>
      <c r="H33" s="153">
        <f>Burlington!$E$61+Burlington!$E$63*'Energy Content Assumptions'!$B$66+Burlington!$E$64*'Energy Content Assumptions'!$B$67</f>
        <v>66138.267636817211</v>
      </c>
      <c r="I33" s="167">
        <f t="shared" si="2"/>
        <v>285695.66606581723</v>
      </c>
      <c r="J33" s="31"/>
    </row>
    <row r="34" spans="1:11" x14ac:dyDescent="0.25">
      <c r="A34" s="164" t="s">
        <v>331</v>
      </c>
      <c r="B34" s="152">
        <f>Camden!$E$11</f>
        <v>0</v>
      </c>
      <c r="C34" s="152">
        <f>Camden!$E$29</f>
        <v>57705.553749999992</v>
      </c>
      <c r="D34" s="152">
        <f>Camden!$E$49</f>
        <v>1318.4684422500002</v>
      </c>
      <c r="E34" s="285">
        <f>SUM(Camden!$E$37:$E$42)</f>
        <v>12147.5885</v>
      </c>
      <c r="F34" s="276">
        <f>SUM(Camden!$E$32:$E$33)</f>
        <v>14261.810723639999</v>
      </c>
      <c r="G34" s="281">
        <f>Camden!$E$35</f>
        <v>13173.102592000005</v>
      </c>
      <c r="H34" s="153">
        <f>Camden!$E$61+Camden!$E$63*'Energy Content Assumptions'!$B$66+Camden!$E$64*'Energy Content Assumptions'!$B$67</f>
        <v>15093.513189522273</v>
      </c>
      <c r="I34" s="167">
        <f t="shared" si="2"/>
        <v>113700.03719741227</v>
      </c>
      <c r="J34" s="31"/>
    </row>
    <row r="35" spans="1:11" x14ac:dyDescent="0.25">
      <c r="A35" s="164" t="s">
        <v>333</v>
      </c>
      <c r="B35" s="152">
        <f>'Cape May'!E39</f>
        <v>0</v>
      </c>
      <c r="C35" s="152">
        <f>'Cape May'!$E$29</f>
        <v>75155.249583333338</v>
      </c>
      <c r="D35" s="152">
        <f>'Cape May'!$E$49</f>
        <v>214.39637625000003</v>
      </c>
      <c r="E35" s="285">
        <f>SUM('Cape May'!$E$37:$E$42)</f>
        <v>2197.0050000000006</v>
      </c>
      <c r="F35" s="276">
        <f>SUM('Cape May'!$E$32:$E$33)</f>
        <v>15336.526569120004</v>
      </c>
      <c r="G35" s="281">
        <f>'Cape May'!$E$35</f>
        <v>14014.048256000004</v>
      </c>
      <c r="H35" s="153">
        <f>'Cape May'!$E$61+'Cape May'!$E$63*'Energy Content Assumptions'!$B$66+'Cape May'!$E$64*'Energy Content Assumptions'!$B$67</f>
        <v>25892.631448118747</v>
      </c>
      <c r="I35" s="167">
        <f t="shared" si="2"/>
        <v>132809.85723282211</v>
      </c>
      <c r="J35" s="31"/>
      <c r="K35" t="s">
        <v>154</v>
      </c>
    </row>
    <row r="36" spans="1:11" x14ac:dyDescent="0.25">
      <c r="A36" s="164" t="s">
        <v>335</v>
      </c>
      <c r="B36" s="152">
        <f>Cumberland!$E$11</f>
        <v>0</v>
      </c>
      <c r="C36" s="152">
        <f>Cumberland!$E$29</f>
        <v>72344.506666666668</v>
      </c>
      <c r="D36" s="152">
        <f>Cumberland!$E$49</f>
        <v>8565.3624165000001</v>
      </c>
      <c r="E36" s="285">
        <f>SUM(Cumberland!$E$37:$E$42)</f>
        <v>9937.4760000000006</v>
      </c>
      <c r="F36" s="276">
        <f>SUM(Cumberland!$E$32:$E$33)</f>
        <v>19174.599800640004</v>
      </c>
      <c r="G36" s="281">
        <f>Cumberland!$E$35</f>
        <v>4361.7361920000012</v>
      </c>
      <c r="H36" s="153">
        <f>Cumberland!$E$61+Cumberland!$E$63*'Energy Content Assumptions'!$B$66+Cumberland!$E$64*'Energy Content Assumptions'!$B$67</f>
        <v>11944.403000112497</v>
      </c>
      <c r="I36" s="167">
        <f t="shared" si="2"/>
        <v>126328.08407591916</v>
      </c>
      <c r="J36" s="31"/>
    </row>
    <row r="37" spans="1:11" x14ac:dyDescent="0.25">
      <c r="A37" s="164" t="s">
        <v>336</v>
      </c>
      <c r="B37" s="152">
        <f>Essex!$E$11</f>
        <v>0</v>
      </c>
      <c r="C37" s="152">
        <f>Essex!$E$29</f>
        <v>40657.695000000007</v>
      </c>
      <c r="D37" s="152">
        <f>Essex!$E$49</f>
        <v>1728.0636682500001</v>
      </c>
      <c r="E37" s="285">
        <f>SUM(Essex!$E$37:$E$42)</f>
        <v>40414.608500000002</v>
      </c>
      <c r="F37" s="276">
        <f>SUM(Essex!$E$33:$E$34)</f>
        <v>24000.464395079995</v>
      </c>
      <c r="G37" s="281">
        <f>Essex!$E$35</f>
        <v>12341.401600000005</v>
      </c>
      <c r="H37" s="153">
        <f>Essex!$E$61+Essex!$E$63*'Energy Content Assumptions'!$B$66+Essex!$E$64*'Energy Content Assumptions'!$B$67</f>
        <v>42935.249520475001</v>
      </c>
      <c r="I37" s="167">
        <f t="shared" si="2"/>
        <v>162077.48268380499</v>
      </c>
      <c r="J37" s="31"/>
    </row>
    <row r="38" spans="1:11" x14ac:dyDescent="0.25">
      <c r="A38" s="164" t="s">
        <v>337</v>
      </c>
      <c r="B38" s="152">
        <f>Gloucester!$E$11</f>
        <v>0</v>
      </c>
      <c r="C38" s="152">
        <f>Gloucester!$E$29</f>
        <v>57092.389166666653</v>
      </c>
      <c r="D38" s="152">
        <f>Gloucester!$E$49</f>
        <v>8866.4988240000021</v>
      </c>
      <c r="E38" s="285">
        <f>SUM(Gloucester!$E$37:$E$42)</f>
        <v>17197.514499999997</v>
      </c>
      <c r="F38" s="276">
        <f>SUM(Gloucester!$E$32:$E$33)</f>
        <v>4276.794526560001</v>
      </c>
      <c r="G38" s="281">
        <f>Gloucester!$E$35</f>
        <v>6839.1301120000016</v>
      </c>
      <c r="H38" s="153">
        <f>Gloucester!$E$61+Gloucester!$E$63*'Energy Content Assumptions'!$B$66+Gloucester!$E$64*'Energy Content Assumptions'!$B$67</f>
        <v>105119.22788106248</v>
      </c>
      <c r="I38" s="167">
        <f t="shared" si="2"/>
        <v>199391.55501028913</v>
      </c>
      <c r="J38" s="31"/>
    </row>
    <row r="39" spans="1:11" x14ac:dyDescent="0.25">
      <c r="A39" s="164" t="s">
        <v>338</v>
      </c>
      <c r="B39" s="152">
        <f>Hudson!$E$11</f>
        <v>0</v>
      </c>
      <c r="C39" s="152">
        <f>Hudson!$E$29</f>
        <v>3120.0766666666664</v>
      </c>
      <c r="D39" s="152">
        <f>Hudson!$E$49</f>
        <v>1398.0808305</v>
      </c>
      <c r="E39" s="285">
        <f>SUM(Hudson!$E$37:$E$42)</f>
        <v>36443.1325</v>
      </c>
      <c r="F39" s="276">
        <f>SUM(Hudson!$E$32:$E$33)</f>
        <v>62173.378283040001</v>
      </c>
      <c r="G39" s="281">
        <f>Hudson!$E$35</f>
        <v>16513.560576000003</v>
      </c>
      <c r="H39" s="153">
        <f>Hudson!$E$61+Hudson!$E$63*'Energy Content Assumptions'!$B$66+Hudson!$E$64*'Energy Content Assumptions'!$B$67</f>
        <v>6010.1939985812505</v>
      </c>
      <c r="I39" s="167">
        <f t="shared" si="2"/>
        <v>125658.42285478792</v>
      </c>
      <c r="J39" s="31"/>
    </row>
    <row r="40" spans="1:11" x14ac:dyDescent="0.25">
      <c r="A40" s="164" t="s">
        <v>339</v>
      </c>
      <c r="B40" s="152">
        <f>Hunterdon!$E$11</f>
        <v>0</v>
      </c>
      <c r="C40" s="152">
        <f>Hunterdon!$E$29</f>
        <v>67724.137499999997</v>
      </c>
      <c r="D40" s="152">
        <f>Hunterdon!$E$49</f>
        <v>4472.3532832499995</v>
      </c>
      <c r="E40" s="285">
        <f>SUM(Hunterdon!$E$37:$E$42)</f>
        <v>1926.0794999999998</v>
      </c>
      <c r="F40" s="276">
        <f>SUM(Hunterdon!$E$32:$E$33)</f>
        <v>8268.5358133200025</v>
      </c>
      <c r="G40" s="281">
        <f>Hunterdon!$E$35</f>
        <v>5310.8346880000026</v>
      </c>
      <c r="H40" s="153">
        <f>Hunterdon!$E$61+Hunterdon!$E$63*'Energy Content Assumptions'!$B$66+Hunterdon!$E$64*'Energy Content Assumptions'!$B$67</f>
        <v>14985.53186004688</v>
      </c>
      <c r="I40" s="167">
        <f t="shared" si="2"/>
        <v>102687.47264461689</v>
      </c>
      <c r="J40" s="31"/>
    </row>
    <row r="41" spans="1:11" x14ac:dyDescent="0.25">
      <c r="A41" s="164" t="s">
        <v>340</v>
      </c>
      <c r="B41" s="152">
        <f>Mercer!$E$11</f>
        <v>0</v>
      </c>
      <c r="C41" s="152">
        <f>Mercer!$E$29</f>
        <v>102264.79791666668</v>
      </c>
      <c r="D41" s="152">
        <f>Mercer!$E$49</f>
        <v>4649.8062802500008</v>
      </c>
      <c r="E41" s="285">
        <f>SUM(Mercer!$E$37:$E$42)</f>
        <v>15207.602999999999</v>
      </c>
      <c r="F41" s="276">
        <f>SUM(Mercer!$E$32:$E$33)</f>
        <v>39730.820156279995</v>
      </c>
      <c r="G41" s="281">
        <f>Mercer!$E$35</f>
        <v>13284.554752000005</v>
      </c>
      <c r="H41" s="153">
        <f>Mercer!$E$61+Mercer!$E$63*'Energy Content Assumptions'!$B$66+Mercer!$E$64*'Energy Content Assumptions'!$B$67</f>
        <v>21334.021210478124</v>
      </c>
      <c r="I41" s="167">
        <f t="shared" si="2"/>
        <v>196471.60331567482</v>
      </c>
      <c r="J41" s="31"/>
    </row>
    <row r="42" spans="1:11" x14ac:dyDescent="0.25">
      <c r="A42" s="164" t="s">
        <v>341</v>
      </c>
      <c r="B42" s="152">
        <f>Middlesex!$E$11</f>
        <v>0</v>
      </c>
      <c r="C42" s="152">
        <f>Middlesex!$E$29</f>
        <v>57015.695000000007</v>
      </c>
      <c r="D42" s="152">
        <f>Middlesex!$E$49</f>
        <v>5275.6894965000001</v>
      </c>
      <c r="E42" s="285">
        <f>SUM(Middlesex!$E$37:$E$42)</f>
        <v>25810.4215</v>
      </c>
      <c r="F42" s="276">
        <f>SUM(Middlesex!$E$32:$E$33)</f>
        <v>90095.419517400005</v>
      </c>
      <c r="G42" s="281">
        <f>Middlesex!$E$35</f>
        <v>20100.798464000003</v>
      </c>
      <c r="H42" s="153">
        <f>Middlesex!$E$61+Middlesex!$E$63*'Energy Content Assumptions'!$B$66+Middlesex!$E$64*'Energy Content Assumptions'!$B$67</f>
        <v>83266.970482885183</v>
      </c>
      <c r="I42" s="167">
        <f t="shared" si="2"/>
        <v>281564.99446078518</v>
      </c>
      <c r="J42" s="31"/>
    </row>
    <row r="43" spans="1:11" x14ac:dyDescent="0.25">
      <c r="A43" s="164" t="s">
        <v>342</v>
      </c>
      <c r="B43" s="152">
        <f>Monmouth!$E$11</f>
        <v>0</v>
      </c>
      <c r="C43" s="152">
        <f>Monmouth!$E$29</f>
        <v>90197.551666666666</v>
      </c>
      <c r="D43" s="152">
        <f>Monmouth!$E$49</f>
        <v>6310.4751150000002</v>
      </c>
      <c r="E43" s="285">
        <f>SUM(Monmouth!$E$37:$E$42)</f>
        <v>17524.349000000002</v>
      </c>
      <c r="F43" s="276">
        <f>SUM(Monmouth!$E$32:$E$33)</f>
        <v>72418.835958120006</v>
      </c>
      <c r="G43" s="281">
        <f>Monmouth!$E$35</f>
        <v>41229.662208000016</v>
      </c>
      <c r="H43" s="153">
        <f>Monmouth!$E$61+Monmouth!$E$63*'Energy Content Assumptions'!$B$66+Monmouth!$E$64*'Energy Content Assumptions'!$B$67</f>
        <v>38934.887248318752</v>
      </c>
      <c r="I43" s="167">
        <f t="shared" si="2"/>
        <v>266615.76119610545</v>
      </c>
      <c r="J43" s="31"/>
    </row>
    <row r="44" spans="1:11" x14ac:dyDescent="0.25">
      <c r="A44" s="165" t="s">
        <v>343</v>
      </c>
      <c r="B44" s="152">
        <f>Morris!$E$11</f>
        <v>0</v>
      </c>
      <c r="C44" s="152">
        <f>Morris!$E$29</f>
        <v>74110.425833333342</v>
      </c>
      <c r="D44" s="152">
        <f>Morris!$E$49</f>
        <v>1318.3793730000002</v>
      </c>
      <c r="E44" s="285">
        <f>SUM(Morris!$E$37:$E$42)</f>
        <v>14171.287500000002</v>
      </c>
      <c r="F44" s="276">
        <f>SUM(Morris!$E$32:$E$33)</f>
        <v>47726.690340960005</v>
      </c>
      <c r="G44" s="281">
        <f>Morris!$E$35</f>
        <v>12650.436608000004</v>
      </c>
      <c r="H44" s="153">
        <f>Morris!$E$61+Morris!$E$63*'Energy Content Assumptions'!$B$66+Morris!$E$64*'Energy Content Assumptions'!$B$67</f>
        <v>34253.747478412493</v>
      </c>
      <c r="I44" s="167">
        <f t="shared" si="2"/>
        <v>184230.96713370588</v>
      </c>
      <c r="J44" s="31"/>
    </row>
    <row r="45" spans="1:11" x14ac:dyDescent="0.25">
      <c r="A45" s="164" t="s">
        <v>344</v>
      </c>
      <c r="B45" s="152">
        <f>Ocean!$E$11</f>
        <v>0</v>
      </c>
      <c r="C45" s="152">
        <f>Ocean!$E$29</f>
        <v>100055.76041666667</v>
      </c>
      <c r="D45" s="152">
        <f>Ocean!$E$49</f>
        <v>1531.0578097500004</v>
      </c>
      <c r="E45" s="285">
        <f>SUM(Ocean!$E$37:$E$42)</f>
        <v>11858.066500000001</v>
      </c>
      <c r="F45" s="276">
        <f>SUM(Ocean!$E$32:$E$33)</f>
        <v>65988.004198320006</v>
      </c>
      <c r="G45" s="281">
        <f>Ocean!$E$35</f>
        <v>56678.721536000019</v>
      </c>
      <c r="H45" s="153">
        <f>Ocean!$E$61+Ocean!$E$63*'Energy Content Assumptions'!$B$66+Ocean!$E$64*'Energy Content Assumptions'!$B$67</f>
        <v>38485.934079334373</v>
      </c>
      <c r="I45" s="167">
        <f t="shared" si="2"/>
        <v>274597.54454007105</v>
      </c>
      <c r="J45" s="31"/>
    </row>
    <row r="46" spans="1:11" x14ac:dyDescent="0.25">
      <c r="A46" s="164" t="s">
        <v>345</v>
      </c>
      <c r="B46" s="152">
        <f>Passaic!$E$11</f>
        <v>0</v>
      </c>
      <c r="C46" s="152">
        <f>Passaic!$E$29</f>
        <v>40320.068333333336</v>
      </c>
      <c r="D46" s="152">
        <f>Passaic!$E$49</f>
        <v>1104.8274105</v>
      </c>
      <c r="E46" s="285">
        <f>SUM(Passaic!$E$37:$E$42)</f>
        <v>13245.066000000001</v>
      </c>
      <c r="F46" s="276">
        <f>SUM(Passaic!$E$32:$E$33)</f>
        <v>56608.3328616</v>
      </c>
      <c r="G46" s="281">
        <f>Passaic!$E$35</f>
        <v>32283.746304000011</v>
      </c>
      <c r="H46" s="153">
        <f>Passaic!$E$61+Passaic!$E$63*'Energy Content Assumptions'!$B$66+Passaic!$E$64*'Energy Content Assumptions'!$B$67</f>
        <v>3782.325966071875</v>
      </c>
      <c r="I46" s="167">
        <f t="shared" si="2"/>
        <v>147344.36687550519</v>
      </c>
      <c r="J46" s="31"/>
    </row>
    <row r="47" spans="1:11" x14ac:dyDescent="0.25">
      <c r="A47" s="164" t="s">
        <v>346</v>
      </c>
      <c r="B47" s="152">
        <f>Salem!$E$11</f>
        <v>0</v>
      </c>
      <c r="C47" s="152">
        <f>Salem!$E$29</f>
        <v>63305.347500000003</v>
      </c>
      <c r="D47" s="152">
        <f>Salem!$E$49</f>
        <v>20465.983452749999</v>
      </c>
      <c r="E47" s="285">
        <f>SUM(Salem!$E$37:$E$42)</f>
        <v>1187.4005</v>
      </c>
      <c r="F47" s="276">
        <f>SUM(Salem!$E$32:$E$33)</f>
        <v>6747.3907509600022</v>
      </c>
      <c r="G47" s="281">
        <f>Salem!$E$35</f>
        <v>1586.9296640000007</v>
      </c>
      <c r="H47" s="153">
        <f>Salem!$E$61+Salem!$E$63*'Energy Content Assumptions'!$B$66+Salem!$E$64*'Energy Content Assumptions'!$B$67</f>
        <v>22250.495421749998</v>
      </c>
      <c r="I47" s="167">
        <f t="shared" si="2"/>
        <v>115543.54728946</v>
      </c>
      <c r="J47" s="31"/>
    </row>
    <row r="48" spans="1:11" x14ac:dyDescent="0.25">
      <c r="A48" s="164" t="s">
        <v>347</v>
      </c>
      <c r="B48" s="152">
        <f>Somerset!$E$11</f>
        <v>0</v>
      </c>
      <c r="C48" s="152">
        <f>Somerset!$E$29</f>
        <v>27076.278749999998</v>
      </c>
      <c r="D48" s="152">
        <f>Somerset!$E$49</f>
        <v>1805.431437</v>
      </c>
      <c r="E48" s="285">
        <f>SUM(Somerset!$E$37:$E$42)</f>
        <v>6034.3630000000003</v>
      </c>
      <c r="F48" s="276">
        <f>SUM(Somerset!$E$32:$E$33)</f>
        <v>33629.705116919999</v>
      </c>
      <c r="G48" s="281">
        <f>Somerset!$E$35</f>
        <v>21255.776256000008</v>
      </c>
      <c r="H48" s="153">
        <f>Somerset!$E$61+Somerset!$E$63*'Energy Content Assumptions'!$B$66+Somerset!$E$64*'Energy Content Assumptions'!$B$67</f>
        <v>13453.05241953125</v>
      </c>
      <c r="I48" s="167">
        <f t="shared" si="2"/>
        <v>103254.60697945126</v>
      </c>
      <c r="J48" s="31"/>
    </row>
    <row r="49" spans="1:10" x14ac:dyDescent="0.25">
      <c r="A49" s="164" t="s">
        <v>348</v>
      </c>
      <c r="B49" s="152">
        <f>Sussex!$E$11</f>
        <v>0</v>
      </c>
      <c r="C49" s="152">
        <f>Sussex!$E$29</f>
        <v>75274.195833333331</v>
      </c>
      <c r="D49" s="152">
        <f>Sussex!$E$49</f>
        <v>363.57737624999999</v>
      </c>
      <c r="E49" s="285">
        <f>SUM(Sussex!$E$37:$E$42)</f>
        <v>2345.6680000000001</v>
      </c>
      <c r="F49" s="276">
        <f>SUM(Sussex!$E$32:$E$33)</f>
        <v>12690.088954200002</v>
      </c>
      <c r="G49" s="281">
        <f>Sussex!$E$35</f>
        <v>2254.4281600000008</v>
      </c>
      <c r="H49" s="153">
        <f>Sussex!$E$61+Sussex!$E$63*'Energy Content Assumptions'!$B$66+Sussex!$E$64*'Energy Content Assumptions'!$B$67</f>
        <v>15589.926884685292</v>
      </c>
      <c r="I49" s="167">
        <f t="shared" si="2"/>
        <v>108517.88520846864</v>
      </c>
      <c r="J49" s="31"/>
    </row>
    <row r="50" spans="1:10" x14ac:dyDescent="0.25">
      <c r="A50" s="164" t="s">
        <v>349</v>
      </c>
      <c r="B50" s="152">
        <f>Union!$E$11</f>
        <v>0</v>
      </c>
      <c r="C50" s="152">
        <f>Union!$E$29</f>
        <v>36018.51</v>
      </c>
      <c r="D50" s="152">
        <f>Union!$E$49</f>
        <v>1182.57792075</v>
      </c>
      <c r="E50" s="285">
        <f>SUM(Union!$E$37:$E$42)</f>
        <v>5289.0249999999996</v>
      </c>
      <c r="F50" s="276">
        <f>SUM(Union!$E$32:$E$33)</f>
        <v>4813.330933799999</v>
      </c>
      <c r="G50" s="281">
        <f>Union!$E$35</f>
        <v>14680.145920000004</v>
      </c>
      <c r="H50" s="153">
        <f>Union!$E$61+Union!$E$63*'Energy Content Assumptions'!$B$66+Union!$E$64*'Energy Content Assumptions'!$B$67</f>
        <v>15204.818235499999</v>
      </c>
      <c r="I50" s="167">
        <f t="shared" si="2"/>
        <v>77188.40801005</v>
      </c>
      <c r="J50" s="31"/>
    </row>
    <row r="51" spans="1:10" ht="13.8" thickBot="1" x14ac:dyDescent="0.3">
      <c r="A51" s="166" t="s">
        <v>350</v>
      </c>
      <c r="B51" s="168">
        <f>Warren!$E$11</f>
        <v>0</v>
      </c>
      <c r="C51" s="168">
        <f>Warren!$E$29</f>
        <v>83122.424166666679</v>
      </c>
      <c r="D51" s="168">
        <f>Warren!$E$49</f>
        <v>4747.7443409999996</v>
      </c>
      <c r="E51" s="286">
        <f>SUM(Warren!$E$37:$E$42)</f>
        <v>2692.4430000000002</v>
      </c>
      <c r="F51" s="278">
        <f>SUM(Warren!$E$32:$E$33)</f>
        <v>2517.1487693999993</v>
      </c>
      <c r="G51" s="282">
        <f>Warren!$E$35</f>
        <v>559.25350400000025</v>
      </c>
      <c r="H51" s="283">
        <f>Warren!$E$61+Warren!$E$63*'Energy Content Assumptions'!$B$66+Warren!$E$64*'Energy Content Assumptions'!$B$67</f>
        <v>25714.388023249994</v>
      </c>
      <c r="I51" s="168">
        <f t="shared" si="2"/>
        <v>119353.40180431666</v>
      </c>
      <c r="J51" s="31"/>
    </row>
    <row r="52" spans="1:10" ht="14.4" thickTop="1" thickBot="1" x14ac:dyDescent="0.3">
      <c r="A52" s="162" t="s">
        <v>220</v>
      </c>
      <c r="B52" s="163">
        <f t="shared" ref="B52:I52" si="3">SUM(B31:B51)</f>
        <v>0</v>
      </c>
      <c r="C52" s="163">
        <f>SUM(C31:C51)</f>
        <v>1408761.2870833334</v>
      </c>
      <c r="D52" s="163">
        <f>SUM(D31:D51)</f>
        <v>98238.732349500016</v>
      </c>
      <c r="E52" s="288">
        <f t="shared" si="3"/>
        <v>278859.45300000004</v>
      </c>
      <c r="F52" s="142">
        <f>SUM(F31:F51)</f>
        <v>759234.72860550007</v>
      </c>
      <c r="G52" s="287">
        <f t="shared" si="3"/>
        <v>373117.32531200012</v>
      </c>
      <c r="H52" s="163">
        <f t="shared" si="3"/>
        <v>699706.20514911076</v>
      </c>
      <c r="I52" s="163">
        <f t="shared" si="3"/>
        <v>3617917.7314994438</v>
      </c>
      <c r="J52" s="31"/>
    </row>
  </sheetData>
  <mergeCells count="16">
    <mergeCell ref="I2:I3"/>
    <mergeCell ref="J2:J3"/>
    <mergeCell ref="H2:H3"/>
    <mergeCell ref="A29:A30"/>
    <mergeCell ref="B29:B30"/>
    <mergeCell ref="D29:D30"/>
    <mergeCell ref="J29:J30"/>
    <mergeCell ref="C29:C30"/>
    <mergeCell ref="H29:H30"/>
    <mergeCell ref="I29:I30"/>
    <mergeCell ref="E2:G2"/>
    <mergeCell ref="E29:G29"/>
    <mergeCell ref="C2:C3"/>
    <mergeCell ref="A2:A3"/>
    <mergeCell ref="B2:B3"/>
    <mergeCell ref="D2:D3"/>
  </mergeCells>
  <phoneticPr fontId="0" type="noConversion"/>
  <pageMargins left="0.75" right="0.75" top="1" bottom="1" header="0.5" footer="0.5"/>
  <pageSetup scale="90" orientation="landscape" r:id="rId1"/>
  <headerFooter alignWithMargins="0">
    <oddFooter>&amp;L&amp;"Arial,Italic"2/1/07&amp;C&amp;"Arial,Italic"&amp;A&amp;R&amp;"Arial,Italic"Prepared by Navigant Consulting for the New Jersey Agricultural 
Experiment Station - do not reproduce or copy</oddFooter>
  </headerFooter>
  <rowBreaks count="1" manualBreakCount="1">
    <brk id="26"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Y77"/>
  <sheetViews>
    <sheetView topLeftCell="J1" zoomScale="90" zoomScaleNormal="90" workbookViewId="0">
      <selection activeCell="U39" sqref="U39"/>
    </sheetView>
  </sheetViews>
  <sheetFormatPr defaultColWidth="9.109375" defaultRowHeight="14.4" x14ac:dyDescent="0.3"/>
  <cols>
    <col min="1" max="1" width="9.109375" style="650"/>
    <col min="2" max="2" width="15.6640625" style="650" customWidth="1"/>
    <col min="3" max="3" width="12" style="650" customWidth="1"/>
    <col min="4" max="4" width="20.5546875" style="650" customWidth="1"/>
    <col min="5" max="6" width="22.33203125" style="650" customWidth="1"/>
    <col min="7" max="7" width="13.6640625" style="650" customWidth="1"/>
    <col min="8" max="8" width="12" style="650" customWidth="1"/>
    <col min="9" max="9" width="12.109375" style="650" customWidth="1"/>
    <col min="10" max="11" width="22.109375" style="650" customWidth="1"/>
    <col min="12" max="12" width="13.6640625" style="650" customWidth="1"/>
    <col min="13" max="13" width="12" style="650" customWidth="1"/>
    <col min="14" max="14" width="20.5546875" style="650" customWidth="1"/>
    <col min="15" max="16" width="22.109375" style="650" customWidth="1"/>
    <col min="17" max="17" width="13.6640625" style="650" customWidth="1"/>
    <col min="18" max="18" width="18.33203125" style="650" customWidth="1"/>
    <col min="19" max="21" width="9.109375" style="650"/>
    <col min="22" max="22" width="11" style="650" bestFit="1" customWidth="1"/>
    <col min="23" max="16384" width="9.109375" style="650"/>
  </cols>
  <sheetData>
    <row r="1" spans="2:25" x14ac:dyDescent="0.3">
      <c r="B1" s="741" t="s">
        <v>1125</v>
      </c>
      <c r="C1" s="724"/>
      <c r="D1" s="724"/>
      <c r="E1" s="724"/>
      <c r="F1" s="724"/>
      <c r="G1" s="724"/>
      <c r="H1" s="724"/>
      <c r="I1" s="724"/>
      <c r="J1" s="724"/>
      <c r="K1" s="724"/>
      <c r="L1" s="724"/>
      <c r="M1" s="724"/>
      <c r="N1" s="724"/>
      <c r="O1" s="724"/>
      <c r="P1" s="724"/>
      <c r="Q1" s="724"/>
      <c r="R1" s="723"/>
      <c r="S1" s="723"/>
      <c r="T1" s="723"/>
      <c r="U1" s="723"/>
      <c r="V1" s="723"/>
      <c r="W1" s="723"/>
      <c r="X1" s="723"/>
      <c r="Y1" s="723"/>
    </row>
    <row r="2" spans="2:25" ht="15" customHeight="1" x14ac:dyDescent="0.3">
      <c r="B2" s="774" t="s">
        <v>1290</v>
      </c>
      <c r="C2" s="774"/>
      <c r="D2" s="774"/>
      <c r="E2" s="724"/>
      <c r="F2" s="724"/>
      <c r="G2" s="724"/>
      <c r="H2" s="724"/>
      <c r="I2" s="724"/>
      <c r="J2" s="724"/>
      <c r="K2" s="724"/>
      <c r="L2" s="724"/>
      <c r="M2" s="724"/>
      <c r="N2" s="724"/>
      <c r="O2" s="724"/>
      <c r="P2" s="724"/>
      <c r="Q2" s="724"/>
      <c r="R2" s="723"/>
      <c r="S2" s="723"/>
      <c r="T2" s="723"/>
      <c r="U2" s="723"/>
      <c r="V2" s="723"/>
      <c r="W2" s="723"/>
      <c r="X2" s="723"/>
      <c r="Y2" s="723"/>
    </row>
    <row r="3" spans="2:25" ht="15" customHeight="1" thickBot="1" x14ac:dyDescent="0.35">
      <c r="B3" s="724"/>
      <c r="C3" s="724"/>
      <c r="D3" s="724"/>
      <c r="E3" s="724"/>
      <c r="F3" s="724"/>
      <c r="G3" s="724"/>
      <c r="H3" s="724"/>
      <c r="I3" s="724"/>
      <c r="J3" s="724"/>
      <c r="K3" s="724"/>
      <c r="L3" s="724"/>
      <c r="M3" s="724"/>
      <c r="N3" s="724"/>
      <c r="O3" s="724"/>
      <c r="P3" s="724"/>
      <c r="Q3" s="724"/>
      <c r="R3" s="723"/>
      <c r="S3" s="723"/>
      <c r="T3" s="723"/>
      <c r="U3" s="723"/>
      <c r="V3" s="723"/>
      <c r="W3" s="723"/>
      <c r="X3" s="723"/>
      <c r="Y3" s="723"/>
    </row>
    <row r="4" spans="2:25" x14ac:dyDescent="0.3">
      <c r="B4" s="742"/>
      <c r="C4" s="1175" t="s">
        <v>1065</v>
      </c>
      <c r="D4" s="1176"/>
      <c r="E4" s="1176"/>
      <c r="F4" s="1176"/>
      <c r="G4" s="1177"/>
      <c r="H4" s="1178" t="s">
        <v>1066</v>
      </c>
      <c r="I4" s="1179"/>
      <c r="J4" s="1179"/>
      <c r="K4" s="1179"/>
      <c r="L4" s="1179"/>
      <c r="M4" s="1180" t="s">
        <v>1067</v>
      </c>
      <c r="N4" s="1181"/>
      <c r="O4" s="1181"/>
      <c r="P4" s="1181"/>
      <c r="Q4" s="1182"/>
      <c r="R4" s="723"/>
      <c r="S4" s="723"/>
      <c r="T4" s="723"/>
      <c r="U4" s="723"/>
      <c r="V4" s="723"/>
      <c r="W4" s="723"/>
      <c r="X4" s="723"/>
      <c r="Y4" s="723"/>
    </row>
    <row r="5" spans="2:25" ht="45" customHeight="1" thickBot="1" x14ac:dyDescent="0.35">
      <c r="B5" s="743" t="s">
        <v>322</v>
      </c>
      <c r="C5" s="744" t="s">
        <v>1068</v>
      </c>
      <c r="D5" s="745" t="s">
        <v>1069</v>
      </c>
      <c r="E5" s="745" t="s">
        <v>1240</v>
      </c>
      <c r="F5" s="745" t="s">
        <v>1241</v>
      </c>
      <c r="G5" s="746" t="s">
        <v>1242</v>
      </c>
      <c r="H5" s="747" t="s">
        <v>1068</v>
      </c>
      <c r="I5" s="745" t="s">
        <v>1070</v>
      </c>
      <c r="J5" s="745" t="s">
        <v>1240</v>
      </c>
      <c r="K5" s="748" t="s">
        <v>1243</v>
      </c>
      <c r="L5" s="748" t="s">
        <v>1244</v>
      </c>
      <c r="M5" s="744" t="s">
        <v>1068</v>
      </c>
      <c r="N5" s="745" t="s">
        <v>1069</v>
      </c>
      <c r="O5" s="745" t="s">
        <v>1240</v>
      </c>
      <c r="P5" s="745" t="s">
        <v>1245</v>
      </c>
      <c r="Q5" s="746" t="s">
        <v>1244</v>
      </c>
      <c r="R5" s="999" t="s">
        <v>1522</v>
      </c>
      <c r="S5" s="723"/>
      <c r="T5" s="723"/>
      <c r="U5" s="723"/>
      <c r="V5" s="723">
        <v>389052.78599999996</v>
      </c>
      <c r="W5" s="723"/>
      <c r="X5" s="723"/>
      <c r="Y5" s="723"/>
    </row>
    <row r="6" spans="2:25" ht="15" thickBot="1" x14ac:dyDescent="0.35">
      <c r="B6" s="749" t="s">
        <v>403</v>
      </c>
      <c r="C6" s="750">
        <f>'Biomass Data Assumptions'!U7</f>
        <v>1638.0013513686999</v>
      </c>
      <c r="D6" s="751">
        <f>I6+N6</f>
        <v>76158.717979565627</v>
      </c>
      <c r="E6" s="751">
        <f>C6*0.9*1000000*0.5*(1012/1050)*0.12059/2000</f>
        <v>42835.050419376457</v>
      </c>
      <c r="F6" s="751">
        <f xml:space="preserve"> C6*(0.026345733333*1000000)*2.20462/2000</f>
        <v>47569.468023591944</v>
      </c>
      <c r="G6" s="752">
        <f xml:space="preserve"> D6*(1137/2000)</f>
        <v>43296.231171383057</v>
      </c>
      <c r="H6" s="753">
        <f>'Biomass Data Assumptions'!W7</f>
        <v>737.42353600000001</v>
      </c>
      <c r="I6" s="751">
        <v>37210.656000000003</v>
      </c>
      <c r="J6" s="751">
        <f t="shared" ref="J6:J26" si="0">H6*0.9*1000000*0.5*(1012/1050)*0.12059/2000</f>
        <v>19284.217512153187</v>
      </c>
      <c r="K6" s="754">
        <f xml:space="preserve"> H6*(0.026345733333*1000000)*2.20462/2000</f>
        <v>21415.638812681391</v>
      </c>
      <c r="L6" s="754">
        <f xml:space="preserve"> I6*(1137/2000)</f>
        <v>21154.257936000002</v>
      </c>
      <c r="M6" s="750">
        <f>'Biomass Data Assumptions'!X7</f>
        <v>900.57781536869993</v>
      </c>
      <c r="N6" s="751">
        <f>M6*1000000*(506/3412)*0.2916239/1000</f>
        <v>38948.061979565624</v>
      </c>
      <c r="O6" s="751">
        <f t="shared" ref="O6:O26" si="1">M6*0.9*1000000*0.5*(1012/1050)*0.12059/2000</f>
        <v>23550.832907223274</v>
      </c>
      <c r="P6" s="751">
        <f xml:space="preserve"> M6*(0.026345733333*1000000)*2.20462/2000</f>
        <v>26153.82921091055</v>
      </c>
      <c r="Q6" s="752">
        <f xml:space="preserve"> N6*(1137/2000)</f>
        <v>22141.973235383059</v>
      </c>
      <c r="R6" s="1000">
        <f>D6*3600</f>
        <v>274171384.72643626</v>
      </c>
      <c r="S6" s="723"/>
      <c r="T6" s="723">
        <f>I6/H6</f>
        <v>50.460358509631298</v>
      </c>
      <c r="U6" s="723"/>
      <c r="V6" s="723">
        <f>I6/$V$5</f>
        <v>9.5644234764585404E-2</v>
      </c>
      <c r="W6" s="723">
        <f>T6*V6</f>
        <v>4.8262423756003203</v>
      </c>
      <c r="X6" s="723"/>
      <c r="Y6" s="723">
        <f>H6*$W$27</f>
        <v>34109.15566058793</v>
      </c>
    </row>
    <row r="7" spans="2:25" ht="15" thickBot="1" x14ac:dyDescent="0.35">
      <c r="B7" s="749" t="s">
        <v>325</v>
      </c>
      <c r="C7" s="750">
        <f>'Biomass Data Assumptions'!U8</f>
        <v>1194.1632</v>
      </c>
      <c r="D7" s="751">
        <f t="shared" ref="D7:D26" si="2">I7+N7</f>
        <v>51645.001168805065</v>
      </c>
      <c r="E7" s="751">
        <f t="shared" ref="E7:E26" si="3">C7*0.9*1000000*0.5*(1012/1050)*0.12059/2000</f>
        <v>31228.326422454855</v>
      </c>
      <c r="F7" s="751">
        <f t="shared" ref="F7:F26" si="4" xml:space="preserve"> C7*(0.026345733333*1000000)*2.20462/2000</f>
        <v>34679.89089867592</v>
      </c>
      <c r="G7" s="752">
        <f t="shared" ref="G7:G26" si="5" xml:space="preserve"> D7*(1137/2000)</f>
        <v>29360.183164465681</v>
      </c>
      <c r="H7" s="753">
        <f>'Biomass Data Assumptions'!W8</f>
        <v>0</v>
      </c>
      <c r="I7" s="751">
        <v>0</v>
      </c>
      <c r="J7" s="751">
        <f t="shared" si="0"/>
        <v>0</v>
      </c>
      <c r="K7" s="754">
        <f t="shared" ref="K7:K26" si="6" xml:space="preserve"> H7*(0.026345733333*1000000)*2.20462/2000</f>
        <v>0</v>
      </c>
      <c r="L7" s="754">
        <f t="shared" ref="L7:L26" si="7" xml:space="preserve"> I7*(1137/2000)</f>
        <v>0</v>
      </c>
      <c r="M7" s="750">
        <f>'Biomass Data Assumptions'!X8</f>
        <v>1194.1632</v>
      </c>
      <c r="N7" s="751">
        <f>M7*1000000*(506/3412)*0.2916239/1000</f>
        <v>51645.001168805065</v>
      </c>
      <c r="O7" s="751">
        <f t="shared" si="1"/>
        <v>31228.326422454855</v>
      </c>
      <c r="P7" s="751">
        <f t="shared" ref="P7:P26" si="8" xml:space="preserve"> M7*(0.026345733333*1000000)*2.20462/2000</f>
        <v>34679.89089867592</v>
      </c>
      <c r="Q7" s="752">
        <f t="shared" ref="Q7:Q26" si="9" xml:space="preserve"> N7*(1137/2000)</f>
        <v>29360.183164465681</v>
      </c>
      <c r="R7" s="1000">
        <f t="shared" ref="R7:R26" si="10">D7*3600</f>
        <v>185922004.20769823</v>
      </c>
      <c r="S7" s="723"/>
      <c r="T7" s="723"/>
      <c r="U7" s="723"/>
      <c r="V7" s="723">
        <f t="shared" ref="V7:V26" si="11">I7/$V$5</f>
        <v>0</v>
      </c>
      <c r="W7" s="723">
        <f t="shared" ref="W7:W26" si="12">T7*V7</f>
        <v>0</v>
      </c>
      <c r="X7" s="723"/>
      <c r="Y7" s="723">
        <f t="shared" ref="Y7:Y26" si="13">H7*$W$27</f>
        <v>0</v>
      </c>
    </row>
    <row r="8" spans="2:25" ht="15" thickBot="1" x14ac:dyDescent="0.35">
      <c r="B8" s="749" t="s">
        <v>328</v>
      </c>
      <c r="C8" s="750">
        <f>'Biomass Data Assumptions'!U9</f>
        <v>2677.5167271646746</v>
      </c>
      <c r="D8" s="751">
        <f t="shared" si="2"/>
        <v>123448.71891975452</v>
      </c>
      <c r="E8" s="751">
        <f t="shared" si="3"/>
        <v>70019.212078785742</v>
      </c>
      <c r="F8" s="751">
        <f t="shared" si="4"/>
        <v>77758.205894680665</v>
      </c>
      <c r="G8" s="752">
        <f t="shared" si="5"/>
        <v>70180.596705880453</v>
      </c>
      <c r="H8" s="753">
        <f>'Biomass Data Assumptions'!W9</f>
        <v>1019.152098</v>
      </c>
      <c r="I8" s="751">
        <v>51728</v>
      </c>
      <c r="J8" s="751">
        <f t="shared" si="0"/>
        <v>26651.645596241538</v>
      </c>
      <c r="K8" s="754">
        <f t="shared" si="6"/>
        <v>29597.364554356282</v>
      </c>
      <c r="L8" s="754">
        <f t="shared" si="7"/>
        <v>29407.367999999999</v>
      </c>
      <c r="M8" s="750">
        <f>'Biomass Data Assumptions'!X9</f>
        <v>1658.3646291646746</v>
      </c>
      <c r="N8" s="751">
        <f t="shared" ref="N8:N26" si="14">M8*1000000*(506/3412)*0.2916239/1000</f>
        <v>71720.718919754523</v>
      </c>
      <c r="O8" s="751">
        <f t="shared" si="1"/>
        <v>43367.566482544229</v>
      </c>
      <c r="P8" s="751">
        <f t="shared" si="8"/>
        <v>48160.841340324398</v>
      </c>
      <c r="Q8" s="752">
        <f t="shared" si="9"/>
        <v>40773.228705880443</v>
      </c>
      <c r="R8" s="1000">
        <f t="shared" si="10"/>
        <v>444415388.11111629</v>
      </c>
      <c r="S8" s="723"/>
      <c r="T8" s="723">
        <f t="shared" ref="T8:T24" si="15">I8/H8</f>
        <v>50.755917690315151</v>
      </c>
      <c r="U8" s="723"/>
      <c r="V8" s="723">
        <f t="shared" si="11"/>
        <v>0.13295882168544607</v>
      </c>
      <c r="W8" s="723">
        <f t="shared" si="12"/>
        <v>6.7484470096677898</v>
      </c>
      <c r="X8" s="723"/>
      <c r="Y8" s="723">
        <f t="shared" si="13"/>
        <v>47140.368940566012</v>
      </c>
    </row>
    <row r="9" spans="2:25" ht="15" thickBot="1" x14ac:dyDescent="0.35">
      <c r="B9" s="749" t="s">
        <v>331</v>
      </c>
      <c r="C9" s="750">
        <f>'Biomass Data Assumptions'!U10</f>
        <v>319.86940351947902</v>
      </c>
      <c r="D9" s="751">
        <f t="shared" si="2"/>
        <v>13255.022985141281</v>
      </c>
      <c r="E9" s="751">
        <f t="shared" si="3"/>
        <v>8364.8417114697731</v>
      </c>
      <c r="F9" s="751">
        <f t="shared" si="4"/>
        <v>9289.3802253159993</v>
      </c>
      <c r="G9" s="752">
        <f t="shared" si="5"/>
        <v>7535.4805670528176</v>
      </c>
      <c r="H9" s="753">
        <f>'Biomass Data Assumptions'!W10</f>
        <v>297.00299999999999</v>
      </c>
      <c r="I9" s="751">
        <v>12266.1</v>
      </c>
      <c r="J9" s="751">
        <f t="shared" si="0"/>
        <v>7766.8669009800014</v>
      </c>
      <c r="K9" s="754">
        <f t="shared" si="6"/>
        <v>8625.3132206547998</v>
      </c>
      <c r="L9" s="754">
        <f t="shared" si="7"/>
        <v>6973.2778500000004</v>
      </c>
      <c r="M9" s="750">
        <f>'Biomass Data Assumptions'!X10</f>
        <v>22.866403519479036</v>
      </c>
      <c r="N9" s="751">
        <f t="shared" si="14"/>
        <v>988.92298514127981</v>
      </c>
      <c r="O9" s="751">
        <f t="shared" si="1"/>
        <v>597.97481048977386</v>
      </c>
      <c r="P9" s="751">
        <f t="shared" si="8"/>
        <v>664.06700466119867</v>
      </c>
      <c r="Q9" s="752">
        <f t="shared" si="9"/>
        <v>562.20271705281755</v>
      </c>
      <c r="R9" s="1000">
        <f t="shared" si="10"/>
        <v>47718082.746508613</v>
      </c>
      <c r="S9" s="723"/>
      <c r="T9" s="723">
        <f t="shared" si="15"/>
        <v>41.299582832496647</v>
      </c>
      <c r="U9" s="723"/>
      <c r="V9" s="723">
        <f t="shared" si="11"/>
        <v>3.1528112486000813E-2</v>
      </c>
      <c r="W9" s="723">
        <f t="shared" si="12"/>
        <v>1.3020978931678624</v>
      </c>
      <c r="X9" s="723"/>
      <c r="Y9" s="723">
        <f t="shared" si="13"/>
        <v>13737.724745825846</v>
      </c>
    </row>
    <row r="10" spans="2:25" ht="15" thickBot="1" x14ac:dyDescent="0.35">
      <c r="B10" s="749" t="s">
        <v>333</v>
      </c>
      <c r="C10" s="750">
        <f>'Biomass Data Assumptions'!U11</f>
        <v>803.05677939999998</v>
      </c>
      <c r="D10" s="751">
        <f t="shared" si="2"/>
        <v>33596.02750308672</v>
      </c>
      <c r="E10" s="751">
        <f t="shared" si="3"/>
        <v>21000.579521181462</v>
      </c>
      <c r="F10" s="751">
        <f t="shared" si="4"/>
        <v>23321.704684111897</v>
      </c>
      <c r="G10" s="752">
        <f t="shared" si="5"/>
        <v>19099.341635504799</v>
      </c>
      <c r="H10" s="753">
        <f>'Biomass Data Assumptions'!W11</f>
        <v>70.643416999999999</v>
      </c>
      <c r="I10" s="751">
        <v>1920.7180000000001</v>
      </c>
      <c r="J10" s="751">
        <f t="shared" si="0"/>
        <v>1847.3820711219344</v>
      </c>
      <c r="K10" s="754">
        <f xml:space="preserve"> H10*(0.026345733333*1000000)*2.20462/2000</f>
        <v>2051.5671511814026</v>
      </c>
      <c r="L10" s="754">
        <f t="shared" si="7"/>
        <v>1091.928183</v>
      </c>
      <c r="M10" s="750">
        <f>'Biomass Data Assumptions'!X11</f>
        <v>732.41336239999998</v>
      </c>
      <c r="N10" s="751">
        <f t="shared" si="14"/>
        <v>31675.309503086719</v>
      </c>
      <c r="O10" s="751">
        <f t="shared" si="1"/>
        <v>19153.197450059524</v>
      </c>
      <c r="P10" s="751">
        <f t="shared" si="8"/>
        <v>21270.137532930497</v>
      </c>
      <c r="Q10" s="752">
        <f t="shared" si="9"/>
        <v>18007.413452504799</v>
      </c>
      <c r="R10" s="1000">
        <f t="shared" si="10"/>
        <v>120945699.01111218</v>
      </c>
      <c r="S10" s="723"/>
      <c r="T10" s="723">
        <f t="shared" si="15"/>
        <v>27.188916980049253</v>
      </c>
      <c r="U10" s="723"/>
      <c r="V10" s="723">
        <f t="shared" si="11"/>
        <v>4.9369084841870284E-3</v>
      </c>
      <c r="W10" s="723">
        <f t="shared" si="12"/>
        <v>0.13422919491466193</v>
      </c>
      <c r="X10" s="723"/>
      <c r="Y10" s="723">
        <f t="shared" si="13"/>
        <v>3267.5758084955178</v>
      </c>
    </row>
    <row r="11" spans="2:25" ht="15" thickBot="1" x14ac:dyDescent="0.35">
      <c r="B11" s="749" t="s">
        <v>335</v>
      </c>
      <c r="C11" s="750">
        <f>'Biomass Data Assumptions'!U12</f>
        <v>890.09893009999996</v>
      </c>
      <c r="D11" s="751">
        <f t="shared" si="2"/>
        <v>40516.581400506075</v>
      </c>
      <c r="E11" s="751">
        <f t="shared" si="3"/>
        <v>23276.801644398878</v>
      </c>
      <c r="F11" s="751">
        <f t="shared" si="4"/>
        <v>25849.510171554575</v>
      </c>
      <c r="G11" s="752">
        <f t="shared" si="5"/>
        <v>23033.676526187704</v>
      </c>
      <c r="H11" s="753">
        <f>'Biomass Data Assumptions'!W12</f>
        <v>699.89516800000001</v>
      </c>
      <c r="I11" s="751">
        <v>32290.675999999999</v>
      </c>
      <c r="J11" s="751">
        <f t="shared" si="0"/>
        <v>18302.820559034881</v>
      </c>
      <c r="K11" s="754">
        <f t="shared" si="6"/>
        <v>20325.771273767648</v>
      </c>
      <c r="L11" s="754">
        <f t="shared" si="7"/>
        <v>18357.249306000002</v>
      </c>
      <c r="M11" s="750">
        <f>'Biomass Data Assumptions'!X12</f>
        <v>190.20376209999995</v>
      </c>
      <c r="N11" s="751">
        <f t="shared" si="14"/>
        <v>8225.9054005060752</v>
      </c>
      <c r="O11" s="751">
        <f t="shared" si="1"/>
        <v>4973.9810853639992</v>
      </c>
      <c r="P11" s="751">
        <f t="shared" si="8"/>
        <v>5523.7388977869259</v>
      </c>
      <c r="Q11" s="752">
        <f t="shared" si="9"/>
        <v>4676.4272201877038</v>
      </c>
      <c r="R11" s="1000">
        <f t="shared" si="10"/>
        <v>145859693.04182187</v>
      </c>
      <c r="S11" s="723"/>
      <c r="T11" s="723">
        <f t="shared" si="15"/>
        <v>46.136446537090535</v>
      </c>
      <c r="U11" s="723"/>
      <c r="V11" s="723">
        <f t="shared" si="11"/>
        <v>8.2998187294821224E-2</v>
      </c>
      <c r="W11" s="723">
        <f t="shared" si="12"/>
        <v>3.8292414308029463</v>
      </c>
      <c r="X11" s="723"/>
      <c r="Y11" s="723">
        <f t="shared" si="13"/>
        <v>32373.299828343614</v>
      </c>
    </row>
    <row r="12" spans="2:25" ht="15" thickBot="1" x14ac:dyDescent="0.35">
      <c r="B12" s="749" t="s">
        <v>336</v>
      </c>
      <c r="C12" s="750">
        <f>'Biomass Data Assumptions'!U13</f>
        <v>0</v>
      </c>
      <c r="D12" s="751">
        <f t="shared" si="2"/>
        <v>0</v>
      </c>
      <c r="E12" s="751">
        <f t="shared" si="3"/>
        <v>0</v>
      </c>
      <c r="F12" s="751">
        <f t="shared" si="4"/>
        <v>0</v>
      </c>
      <c r="G12" s="752">
        <f t="shared" si="5"/>
        <v>0</v>
      </c>
      <c r="H12" s="753">
        <f>'Biomass Data Assumptions'!W13</f>
        <v>0</v>
      </c>
      <c r="I12" s="751">
        <v>0</v>
      </c>
      <c r="J12" s="751">
        <f t="shared" si="0"/>
        <v>0</v>
      </c>
      <c r="K12" s="754">
        <f t="shared" si="6"/>
        <v>0</v>
      </c>
      <c r="L12" s="754">
        <f t="shared" si="7"/>
        <v>0</v>
      </c>
      <c r="M12" s="750">
        <f>'Biomass Data Assumptions'!X13</f>
        <v>0</v>
      </c>
      <c r="N12" s="751">
        <f t="shared" si="14"/>
        <v>0</v>
      </c>
      <c r="O12" s="751">
        <f t="shared" si="1"/>
        <v>0</v>
      </c>
      <c r="P12" s="751">
        <f t="shared" si="8"/>
        <v>0</v>
      </c>
      <c r="Q12" s="752">
        <f t="shared" si="9"/>
        <v>0</v>
      </c>
      <c r="R12" s="1000">
        <f t="shared" si="10"/>
        <v>0</v>
      </c>
      <c r="S12" s="723"/>
      <c r="T12" s="723"/>
      <c r="U12" s="723"/>
      <c r="V12" s="723">
        <f t="shared" si="11"/>
        <v>0</v>
      </c>
      <c r="W12" s="723">
        <f t="shared" si="12"/>
        <v>0</v>
      </c>
      <c r="X12" s="723"/>
      <c r="Y12" s="723">
        <f t="shared" si="13"/>
        <v>0</v>
      </c>
    </row>
    <row r="13" spans="2:25" ht="15" thickBot="1" x14ac:dyDescent="0.35">
      <c r="B13" s="749" t="s">
        <v>337</v>
      </c>
      <c r="C13" s="750">
        <f>'Biomass Data Assumptions'!U14</f>
        <v>2709.58754</v>
      </c>
      <c r="D13" s="751">
        <f t="shared" si="2"/>
        <v>117183.85868052173</v>
      </c>
      <c r="E13" s="751">
        <f t="shared" si="3"/>
        <v>70857.88958271069</v>
      </c>
      <c r="F13" s="751">
        <f t="shared" si="4"/>
        <v>78689.579671867032</v>
      </c>
      <c r="G13" s="752">
        <f t="shared" si="5"/>
        <v>66619.023659876606</v>
      </c>
      <c r="H13" s="753">
        <f>'Biomass Data Assumptions'!W14</f>
        <v>0</v>
      </c>
      <c r="I13" s="751">
        <v>0</v>
      </c>
      <c r="J13" s="751">
        <f t="shared" si="0"/>
        <v>0</v>
      </c>
      <c r="K13" s="754">
        <f t="shared" si="6"/>
        <v>0</v>
      </c>
      <c r="L13" s="754">
        <f t="shared" si="7"/>
        <v>0</v>
      </c>
      <c r="M13" s="750">
        <f>'Biomass Data Assumptions'!X14</f>
        <v>2709.58754</v>
      </c>
      <c r="N13" s="751">
        <f t="shared" si="14"/>
        <v>117183.85868052173</v>
      </c>
      <c r="O13" s="751">
        <f t="shared" si="1"/>
        <v>70857.88958271069</v>
      </c>
      <c r="P13" s="751">
        <f t="shared" si="8"/>
        <v>78689.579671867032</v>
      </c>
      <c r="Q13" s="752">
        <f t="shared" si="9"/>
        <v>66619.023659876606</v>
      </c>
      <c r="R13" s="1000">
        <f t="shared" si="10"/>
        <v>421861891.24987823</v>
      </c>
      <c r="S13" s="723"/>
      <c r="T13" s="723"/>
      <c r="U13" s="723"/>
      <c r="V13" s="723">
        <f t="shared" si="11"/>
        <v>0</v>
      </c>
      <c r="W13" s="723">
        <f t="shared" si="12"/>
        <v>0</v>
      </c>
      <c r="X13" s="723"/>
      <c r="Y13" s="723">
        <f t="shared" si="13"/>
        <v>0</v>
      </c>
    </row>
    <row r="14" spans="2:25" ht="15" thickBot="1" x14ac:dyDescent="0.35">
      <c r="B14" s="749" t="s">
        <v>338</v>
      </c>
      <c r="C14" s="750">
        <f>'Biomass Data Assumptions'!U15</f>
        <v>0</v>
      </c>
      <c r="D14" s="751">
        <f t="shared" si="2"/>
        <v>0</v>
      </c>
      <c r="E14" s="751">
        <f t="shared" si="3"/>
        <v>0</v>
      </c>
      <c r="F14" s="751">
        <f t="shared" si="4"/>
        <v>0</v>
      </c>
      <c r="G14" s="752">
        <f t="shared" si="5"/>
        <v>0</v>
      </c>
      <c r="H14" s="753">
        <f>'Biomass Data Assumptions'!W15</f>
        <v>0</v>
      </c>
      <c r="I14" s="751">
        <v>0</v>
      </c>
      <c r="J14" s="751">
        <f t="shared" si="0"/>
        <v>0</v>
      </c>
      <c r="K14" s="754">
        <f t="shared" si="6"/>
        <v>0</v>
      </c>
      <c r="L14" s="754">
        <f t="shared" si="7"/>
        <v>0</v>
      </c>
      <c r="M14" s="750">
        <f>'Biomass Data Assumptions'!X15</f>
        <v>0</v>
      </c>
      <c r="N14" s="751">
        <f t="shared" si="14"/>
        <v>0</v>
      </c>
      <c r="O14" s="751">
        <f t="shared" si="1"/>
        <v>0</v>
      </c>
      <c r="P14" s="751">
        <f t="shared" si="8"/>
        <v>0</v>
      </c>
      <c r="Q14" s="752">
        <f t="shared" si="9"/>
        <v>0</v>
      </c>
      <c r="R14" s="1000">
        <f t="shared" si="10"/>
        <v>0</v>
      </c>
      <c r="S14" s="723"/>
      <c r="T14" s="723"/>
      <c r="U14" s="723"/>
      <c r="V14" s="723">
        <f t="shared" si="11"/>
        <v>0</v>
      </c>
      <c r="W14" s="723">
        <f t="shared" si="12"/>
        <v>0</v>
      </c>
      <c r="X14" s="723"/>
      <c r="Y14" s="723">
        <f t="shared" si="13"/>
        <v>0</v>
      </c>
    </row>
    <row r="15" spans="2:25" ht="15" thickBot="1" x14ac:dyDescent="0.35">
      <c r="B15" s="749" t="s">
        <v>339</v>
      </c>
      <c r="C15" s="750">
        <f>'Biomass Data Assumptions'!U16</f>
        <v>0</v>
      </c>
      <c r="D15" s="751">
        <f t="shared" si="2"/>
        <v>0</v>
      </c>
      <c r="E15" s="751">
        <f t="shared" si="3"/>
        <v>0</v>
      </c>
      <c r="F15" s="751">
        <f t="shared" si="4"/>
        <v>0</v>
      </c>
      <c r="G15" s="752">
        <f t="shared" si="5"/>
        <v>0</v>
      </c>
      <c r="H15" s="753">
        <f>'Biomass Data Assumptions'!W16</f>
        <v>0</v>
      </c>
      <c r="I15" s="751">
        <v>0</v>
      </c>
      <c r="J15" s="751">
        <f t="shared" si="0"/>
        <v>0</v>
      </c>
      <c r="K15" s="754">
        <f t="shared" si="6"/>
        <v>0</v>
      </c>
      <c r="L15" s="754">
        <f t="shared" si="7"/>
        <v>0</v>
      </c>
      <c r="M15" s="750">
        <f>'Biomass Data Assumptions'!X16</f>
        <v>0</v>
      </c>
      <c r="N15" s="751">
        <f t="shared" si="14"/>
        <v>0</v>
      </c>
      <c r="O15" s="751">
        <f t="shared" si="1"/>
        <v>0</v>
      </c>
      <c r="P15" s="751">
        <f t="shared" si="8"/>
        <v>0</v>
      </c>
      <c r="Q15" s="752">
        <f t="shared" si="9"/>
        <v>0</v>
      </c>
      <c r="R15" s="1000">
        <f t="shared" si="10"/>
        <v>0</v>
      </c>
      <c r="S15" s="723"/>
      <c r="T15" s="723"/>
      <c r="U15" s="723"/>
      <c r="V15" s="723">
        <f t="shared" si="11"/>
        <v>0</v>
      </c>
      <c r="W15" s="723">
        <f t="shared" si="12"/>
        <v>0</v>
      </c>
      <c r="X15" s="723"/>
      <c r="Y15" s="723">
        <f t="shared" si="13"/>
        <v>0</v>
      </c>
    </row>
    <row r="16" spans="2:25" ht="15" thickBot="1" x14ac:dyDescent="0.35">
      <c r="B16" s="749" t="s">
        <v>340</v>
      </c>
      <c r="C16" s="750">
        <f>'Biomass Data Assumptions'!U17</f>
        <v>0</v>
      </c>
      <c r="D16" s="751">
        <f t="shared" si="2"/>
        <v>0</v>
      </c>
      <c r="E16" s="751">
        <f t="shared" si="3"/>
        <v>0</v>
      </c>
      <c r="F16" s="751">
        <f t="shared" si="4"/>
        <v>0</v>
      </c>
      <c r="G16" s="752">
        <f t="shared" si="5"/>
        <v>0</v>
      </c>
      <c r="H16" s="753">
        <f>'Biomass Data Assumptions'!W17</f>
        <v>0</v>
      </c>
      <c r="I16" s="751">
        <v>0</v>
      </c>
      <c r="J16" s="751">
        <f t="shared" si="0"/>
        <v>0</v>
      </c>
      <c r="K16" s="754">
        <f t="shared" si="6"/>
        <v>0</v>
      </c>
      <c r="L16" s="754">
        <f t="shared" si="7"/>
        <v>0</v>
      </c>
      <c r="M16" s="750">
        <f>'Biomass Data Assumptions'!X17</f>
        <v>0</v>
      </c>
      <c r="N16" s="751">
        <f t="shared" si="14"/>
        <v>0</v>
      </c>
      <c r="O16" s="751">
        <f t="shared" si="1"/>
        <v>0</v>
      </c>
      <c r="P16" s="751">
        <f t="shared" si="8"/>
        <v>0</v>
      </c>
      <c r="Q16" s="752">
        <f t="shared" si="9"/>
        <v>0</v>
      </c>
      <c r="R16" s="1000">
        <f t="shared" si="10"/>
        <v>0</v>
      </c>
      <c r="S16" s="723"/>
      <c r="T16" s="723"/>
      <c r="U16" s="723"/>
      <c r="V16" s="723">
        <f t="shared" si="11"/>
        <v>0</v>
      </c>
      <c r="W16" s="723">
        <f t="shared" si="12"/>
        <v>0</v>
      </c>
      <c r="X16" s="723"/>
      <c r="Y16" s="723">
        <f t="shared" si="13"/>
        <v>0</v>
      </c>
    </row>
    <row r="17" spans="2:25" ht="15" thickBot="1" x14ac:dyDescent="0.35">
      <c r="B17" s="749" t="s">
        <v>341</v>
      </c>
      <c r="C17" s="750">
        <f>'Biomass Data Assumptions'!U18</f>
        <v>4428.5576053097093</v>
      </c>
      <c r="D17" s="751">
        <f t="shared" si="2"/>
        <v>210253.46454405531</v>
      </c>
      <c r="E17" s="751">
        <f t="shared" si="3"/>
        <v>115810.33687795488</v>
      </c>
      <c r="F17" s="751">
        <f t="shared" si="4"/>
        <v>128610.47350198215</v>
      </c>
      <c r="G17" s="752">
        <f t="shared" si="5"/>
        <v>119529.09459329545</v>
      </c>
      <c r="H17" s="753">
        <f>'Biomass Data Assumptions'!W18</f>
        <v>3642.692</v>
      </c>
      <c r="I17" s="751">
        <v>176266.46</v>
      </c>
      <c r="J17" s="751">
        <f t="shared" si="0"/>
        <v>95259.320361291437</v>
      </c>
      <c r="K17" s="754">
        <f t="shared" si="6"/>
        <v>105788.02054650451</v>
      </c>
      <c r="L17" s="754">
        <f t="shared" si="7"/>
        <v>100207.48251</v>
      </c>
      <c r="M17" s="750">
        <f>'Biomass Data Assumptions'!X18</f>
        <v>785.86560530970928</v>
      </c>
      <c r="N17" s="751">
        <f t="shared" si="14"/>
        <v>33987.004544055315</v>
      </c>
      <c r="O17" s="751">
        <f t="shared" si="1"/>
        <v>20551.016516663447</v>
      </c>
      <c r="P17" s="751">
        <f t="shared" si="8"/>
        <v>22822.452955477631</v>
      </c>
      <c r="Q17" s="752">
        <f t="shared" si="9"/>
        <v>19321.612083295448</v>
      </c>
      <c r="R17" s="1000">
        <f t="shared" si="10"/>
        <v>756912472.35859919</v>
      </c>
      <c r="S17" s="723"/>
      <c r="T17" s="723">
        <f t="shared" si="15"/>
        <v>48.38906501016281</v>
      </c>
      <c r="U17" s="723"/>
      <c r="V17" s="723">
        <f t="shared" si="11"/>
        <v>0.45306566703264789</v>
      </c>
      <c r="W17" s="723">
        <f t="shared" si="12"/>
        <v>21.923424015915575</v>
      </c>
      <c r="X17" s="723"/>
      <c r="Y17" s="723">
        <f t="shared" si="13"/>
        <v>168490.89076481329</v>
      </c>
    </row>
    <row r="18" spans="2:25" ht="15" thickBot="1" x14ac:dyDescent="0.35">
      <c r="B18" s="749" t="s">
        <v>342</v>
      </c>
      <c r="C18" s="755">
        <f>'Biomass Data Assumptions'!U19</f>
        <v>2010.750597</v>
      </c>
      <c r="D18" s="751">
        <f t="shared" si="2"/>
        <v>73340.862383493833</v>
      </c>
      <c r="E18" s="751">
        <f t="shared" si="3"/>
        <v>52582.742457029308</v>
      </c>
      <c r="F18" s="751">
        <f t="shared" si="4"/>
        <v>58394.540485259859</v>
      </c>
      <c r="G18" s="752">
        <f t="shared" si="5"/>
        <v>41694.280265016241</v>
      </c>
      <c r="H18" s="756">
        <f>'Biomass Data Assumptions'!W19</f>
        <v>1788.5</v>
      </c>
      <c r="I18" s="751">
        <v>63729</v>
      </c>
      <c r="J18" s="751">
        <f t="shared" si="0"/>
        <v>46770.710910000002</v>
      </c>
      <c r="K18" s="754">
        <f t="shared" si="6"/>
        <v>51940.124157470163</v>
      </c>
      <c r="L18" s="754">
        <f t="shared" si="7"/>
        <v>36229.936500000003</v>
      </c>
      <c r="M18" s="755">
        <f>'Biomass Data Assumptions'!X19</f>
        <v>222.25059699999997</v>
      </c>
      <c r="N18" s="751">
        <f t="shared" si="14"/>
        <v>9611.8623834938317</v>
      </c>
      <c r="O18" s="751">
        <f t="shared" si="1"/>
        <v>5812.0315470293053</v>
      </c>
      <c r="P18" s="751">
        <f t="shared" si="8"/>
        <v>6454.4163277896932</v>
      </c>
      <c r="Q18" s="752">
        <f t="shared" si="9"/>
        <v>5464.3437650162432</v>
      </c>
      <c r="R18" s="1000">
        <f t="shared" si="10"/>
        <v>264027104.58057779</v>
      </c>
      <c r="S18" s="723"/>
      <c r="T18" s="723">
        <f t="shared" si="15"/>
        <v>35.632653061224488</v>
      </c>
      <c r="U18" s="723"/>
      <c r="V18" s="723">
        <f t="shared" si="11"/>
        <v>0.16380553563238076</v>
      </c>
      <c r="W18" s="723">
        <f t="shared" si="12"/>
        <v>5.836825820696669</v>
      </c>
      <c r="X18" s="723"/>
      <c r="Y18" s="723">
        <f t="shared" si="13"/>
        <v>82726.170132656989</v>
      </c>
    </row>
    <row r="19" spans="2:25" ht="15" thickBot="1" x14ac:dyDescent="0.35">
      <c r="B19" s="749" t="s">
        <v>343</v>
      </c>
      <c r="C19" s="750">
        <f>'Biomass Data Assumptions'!U20</f>
        <v>446.87619649999999</v>
      </c>
      <c r="D19" s="751">
        <f t="shared" si="2"/>
        <v>19326.438539182636</v>
      </c>
      <c r="E19" s="751">
        <f t="shared" si="3"/>
        <v>11686.171316221335</v>
      </c>
      <c r="F19" s="751">
        <f t="shared" si="4"/>
        <v>12977.80549579426</v>
      </c>
      <c r="G19" s="752">
        <f t="shared" si="5"/>
        <v>10987.080309525329</v>
      </c>
      <c r="H19" s="753">
        <f>'Biomass Data Assumptions'!W20</f>
        <v>0</v>
      </c>
      <c r="I19" s="751">
        <v>0</v>
      </c>
      <c r="J19" s="751">
        <f t="shared" si="0"/>
        <v>0</v>
      </c>
      <c r="K19" s="754">
        <f t="shared" si="6"/>
        <v>0</v>
      </c>
      <c r="L19" s="754">
        <f t="shared" si="7"/>
        <v>0</v>
      </c>
      <c r="M19" s="750">
        <f>'Biomass Data Assumptions'!X20</f>
        <v>446.87619649999999</v>
      </c>
      <c r="N19" s="751">
        <f t="shared" si="14"/>
        <v>19326.438539182636</v>
      </c>
      <c r="O19" s="751">
        <f t="shared" si="1"/>
        <v>11686.171316221335</v>
      </c>
      <c r="P19" s="751">
        <f t="shared" si="8"/>
        <v>12977.80549579426</v>
      </c>
      <c r="Q19" s="752">
        <f t="shared" si="9"/>
        <v>10987.080309525329</v>
      </c>
      <c r="R19" s="1000">
        <f t="shared" si="10"/>
        <v>69575178.741057485</v>
      </c>
      <c r="S19" s="723"/>
      <c r="T19" s="723"/>
      <c r="U19" s="723"/>
      <c r="V19" s="723">
        <f t="shared" si="11"/>
        <v>0</v>
      </c>
      <c r="W19" s="723">
        <f t="shared" si="12"/>
        <v>0</v>
      </c>
      <c r="X19" s="723"/>
      <c r="Y19" s="723">
        <f t="shared" si="13"/>
        <v>0</v>
      </c>
    </row>
    <row r="20" spans="2:25" ht="15" thickBot="1" x14ac:dyDescent="0.35">
      <c r="B20" s="749" t="s">
        <v>344</v>
      </c>
      <c r="C20" s="750">
        <f>'Biomass Data Assumptions'!U21</f>
        <v>3153.6</v>
      </c>
      <c r="D20" s="751">
        <f t="shared" si="2"/>
        <v>143129.54343521694</v>
      </c>
      <c r="E20" s="751">
        <f t="shared" si="3"/>
        <v>82469.17189028571</v>
      </c>
      <c r="F20" s="751">
        <f t="shared" si="4"/>
        <v>91584.218922559652</v>
      </c>
      <c r="G20" s="752">
        <f t="shared" si="5"/>
        <v>81369.145442920824</v>
      </c>
      <c r="H20" s="753">
        <f>'Biomass Data Assumptions'!W21</f>
        <v>2242.7352000000001</v>
      </c>
      <c r="I20" s="757">
        <v>103736.59139932822</v>
      </c>
      <c r="J20" s="758">
        <f t="shared" si="0"/>
        <v>58649.326075974852</v>
      </c>
      <c r="K20" s="754">
        <f t="shared" si="6"/>
        <v>65131.643690427001</v>
      </c>
      <c r="L20" s="754">
        <f t="shared" si="7"/>
        <v>58974.252210518091</v>
      </c>
      <c r="M20" s="750">
        <f>'Biomass Data Assumptions'!X21</f>
        <v>910.86479999999983</v>
      </c>
      <c r="N20" s="751">
        <f t="shared" si="14"/>
        <v>39392.952035888717</v>
      </c>
      <c r="O20" s="758">
        <f t="shared" si="1"/>
        <v>23819.845814310851</v>
      </c>
      <c r="P20" s="751">
        <f t="shared" si="8"/>
        <v>26452.57523213264</v>
      </c>
      <c r="Q20" s="752">
        <f t="shared" si="9"/>
        <v>22394.893232402737</v>
      </c>
      <c r="R20" s="1000">
        <f t="shared" si="10"/>
        <v>515266356.366781</v>
      </c>
      <c r="S20" s="723"/>
      <c r="T20" s="723"/>
      <c r="U20" s="723"/>
      <c r="V20" s="723">
        <f t="shared" si="11"/>
        <v>0.26663886015541405</v>
      </c>
      <c r="W20" s="723">
        <f t="shared" si="12"/>
        <v>0</v>
      </c>
      <c r="X20" s="723"/>
      <c r="Y20" s="723">
        <f t="shared" si="13"/>
        <v>103736.59139932822</v>
      </c>
    </row>
    <row r="21" spans="2:25" ht="15" thickBot="1" x14ac:dyDescent="0.35">
      <c r="B21" s="749" t="s">
        <v>345</v>
      </c>
      <c r="C21" s="750">
        <f>'Biomass Data Assumptions'!U22</f>
        <v>0</v>
      </c>
      <c r="D21" s="751">
        <f t="shared" si="2"/>
        <v>0</v>
      </c>
      <c r="E21" s="751">
        <f t="shared" si="3"/>
        <v>0</v>
      </c>
      <c r="F21" s="751">
        <f t="shared" si="4"/>
        <v>0</v>
      </c>
      <c r="G21" s="752">
        <f t="shared" si="5"/>
        <v>0</v>
      </c>
      <c r="H21" s="753">
        <f>'Biomass Data Assumptions'!W22</f>
        <v>0</v>
      </c>
      <c r="I21" s="751">
        <v>0</v>
      </c>
      <c r="J21" s="751">
        <f t="shared" si="0"/>
        <v>0</v>
      </c>
      <c r="K21" s="754">
        <f t="shared" si="6"/>
        <v>0</v>
      </c>
      <c r="L21" s="754">
        <f t="shared" si="7"/>
        <v>0</v>
      </c>
      <c r="M21" s="750">
        <f>'Biomass Data Assumptions'!X22</f>
        <v>0</v>
      </c>
      <c r="N21" s="751">
        <f t="shared" si="14"/>
        <v>0</v>
      </c>
      <c r="O21" s="751">
        <f t="shared" si="1"/>
        <v>0</v>
      </c>
      <c r="P21" s="751">
        <f t="shared" si="8"/>
        <v>0</v>
      </c>
      <c r="Q21" s="752">
        <f t="shared" si="9"/>
        <v>0</v>
      </c>
      <c r="R21" s="1000">
        <f t="shared" si="10"/>
        <v>0</v>
      </c>
      <c r="S21" s="723"/>
      <c r="T21" s="723"/>
      <c r="U21" s="723"/>
      <c r="V21" s="723">
        <f t="shared" si="11"/>
        <v>0</v>
      </c>
      <c r="W21" s="723">
        <f t="shared" si="12"/>
        <v>0</v>
      </c>
      <c r="X21" s="723"/>
      <c r="Y21" s="723">
        <f t="shared" si="13"/>
        <v>0</v>
      </c>
    </row>
    <row r="22" spans="2:25" ht="15" thickBot="1" x14ac:dyDescent="0.35">
      <c r="B22" s="749" t="s">
        <v>346</v>
      </c>
      <c r="C22" s="750">
        <f>'Biomass Data Assumptions'!U23</f>
        <v>660.768552</v>
      </c>
      <c r="D22" s="751">
        <f t="shared" si="2"/>
        <v>29634.038769938801</v>
      </c>
      <c r="E22" s="751">
        <f t="shared" si="3"/>
        <v>17279.62813755175</v>
      </c>
      <c r="F22" s="751">
        <f t="shared" si="4"/>
        <v>19189.488750479049</v>
      </c>
      <c r="G22" s="752">
        <f t="shared" si="5"/>
        <v>16846.95104071021</v>
      </c>
      <c r="H22" s="753">
        <f>'Biomass Data Assumptions'!W23</f>
        <v>351.62639999999999</v>
      </c>
      <c r="I22" s="757">
        <v>16264.30270591764</v>
      </c>
      <c r="J22" s="751">
        <f t="shared" si="0"/>
        <v>9195.3126657668581</v>
      </c>
      <c r="K22" s="754">
        <f t="shared" si="6"/>
        <v>10211.6404098654</v>
      </c>
      <c r="L22" s="754">
        <f t="shared" si="7"/>
        <v>9246.2560883141778</v>
      </c>
      <c r="M22" s="750">
        <f>'Biomass Data Assumptions'!X23</f>
        <v>309.14215200000001</v>
      </c>
      <c r="N22" s="751">
        <f t="shared" si="14"/>
        <v>13369.736064021159</v>
      </c>
      <c r="O22" s="751">
        <f t="shared" si="1"/>
        <v>8084.315471784892</v>
      </c>
      <c r="P22" s="751">
        <f t="shared" si="8"/>
        <v>8977.8483406136529</v>
      </c>
      <c r="Q22" s="752">
        <f t="shared" si="9"/>
        <v>7600.6949523960293</v>
      </c>
      <c r="R22" s="1000">
        <f t="shared" si="10"/>
        <v>106682539.57177968</v>
      </c>
      <c r="S22" s="723"/>
      <c r="T22" s="723"/>
      <c r="U22" s="723"/>
      <c r="V22" s="723">
        <f t="shared" si="11"/>
        <v>4.1804874020148111E-2</v>
      </c>
      <c r="W22" s="723">
        <f t="shared" si="12"/>
        <v>0</v>
      </c>
      <c r="X22" s="723"/>
      <c r="Y22" s="723">
        <f t="shared" si="13"/>
        <v>16264.30270591764</v>
      </c>
    </row>
    <row r="23" spans="2:25" ht="15" thickBot="1" x14ac:dyDescent="0.35">
      <c r="B23" s="749" t="s">
        <v>347</v>
      </c>
      <c r="C23" s="750">
        <f>'Biomass Data Assumptions'!U24</f>
        <v>0</v>
      </c>
      <c r="D23" s="751">
        <f t="shared" si="2"/>
        <v>0</v>
      </c>
      <c r="E23" s="751">
        <f t="shared" si="3"/>
        <v>0</v>
      </c>
      <c r="F23" s="751">
        <f t="shared" si="4"/>
        <v>0</v>
      </c>
      <c r="G23" s="752">
        <f t="shared" si="5"/>
        <v>0</v>
      </c>
      <c r="H23" s="753">
        <f>'Biomass Data Assumptions'!W24</f>
        <v>0</v>
      </c>
      <c r="I23" s="751">
        <v>0</v>
      </c>
      <c r="J23" s="751">
        <f t="shared" si="0"/>
        <v>0</v>
      </c>
      <c r="K23" s="754">
        <f t="shared" si="6"/>
        <v>0</v>
      </c>
      <c r="L23" s="754">
        <f t="shared" si="7"/>
        <v>0</v>
      </c>
      <c r="M23" s="750">
        <f>'Biomass Data Assumptions'!X24</f>
        <v>0</v>
      </c>
      <c r="N23" s="751">
        <f t="shared" si="14"/>
        <v>0</v>
      </c>
      <c r="O23" s="751">
        <f t="shared" si="1"/>
        <v>0</v>
      </c>
      <c r="P23" s="751">
        <f t="shared" si="8"/>
        <v>0</v>
      </c>
      <c r="Q23" s="752">
        <f t="shared" si="9"/>
        <v>0</v>
      </c>
      <c r="R23" s="1000">
        <f t="shared" si="10"/>
        <v>0</v>
      </c>
      <c r="S23" s="723"/>
      <c r="T23" s="723"/>
      <c r="U23" s="723"/>
      <c r="V23" s="723">
        <f t="shared" si="11"/>
        <v>0</v>
      </c>
      <c r="W23" s="723">
        <f t="shared" si="12"/>
        <v>0</v>
      </c>
      <c r="X23" s="723"/>
      <c r="Y23" s="723">
        <f t="shared" si="13"/>
        <v>0</v>
      </c>
    </row>
    <row r="24" spans="2:25" ht="15" thickBot="1" x14ac:dyDescent="0.35">
      <c r="B24" s="749" t="s">
        <v>348</v>
      </c>
      <c r="C24" s="750">
        <f>'Biomass Data Assumptions'!U25</f>
        <v>306.94063244064165</v>
      </c>
      <c r="D24" s="751">
        <f t="shared" si="2"/>
        <v>14409.463097452535</v>
      </c>
      <c r="E24" s="751">
        <f t="shared" si="3"/>
        <v>8026.7439678019673</v>
      </c>
      <c r="F24" s="751">
        <f t="shared" si="4"/>
        <v>8913.9136471564671</v>
      </c>
      <c r="G24" s="752">
        <f t="shared" si="5"/>
        <v>8191.7797709017668</v>
      </c>
      <c r="H24" s="753">
        <f>'Biomass Data Assumptions'!W25</f>
        <v>289.17588932806325</v>
      </c>
      <c r="I24" s="751">
        <v>13641.175999999999</v>
      </c>
      <c r="J24" s="751">
        <f t="shared" si="0"/>
        <v>7562.1816728571439</v>
      </c>
      <c r="K24" s="754">
        <f t="shared" si="6"/>
        <v>8398.0048057290805</v>
      </c>
      <c r="L24" s="754">
        <f t="shared" si="7"/>
        <v>7755.0085559999998</v>
      </c>
      <c r="M24" s="750">
        <f>'Biomass Data Assumptions'!X25</f>
        <v>17.764743112578401</v>
      </c>
      <c r="N24" s="751">
        <f t="shared" si="14"/>
        <v>768.28709745253673</v>
      </c>
      <c r="O24" s="751">
        <f t="shared" si="1"/>
        <v>464.5622949448242</v>
      </c>
      <c r="P24" s="751">
        <f t="shared" si="8"/>
        <v>515.90884142738901</v>
      </c>
      <c r="Q24" s="752">
        <f t="shared" si="9"/>
        <v>436.77121490176711</v>
      </c>
      <c r="R24" s="1000">
        <f t="shared" si="10"/>
        <v>51874067.150829129</v>
      </c>
      <c r="S24" s="723"/>
      <c r="T24" s="723">
        <f t="shared" si="15"/>
        <v>47.172591157917758</v>
      </c>
      <c r="U24" s="723"/>
      <c r="V24" s="723">
        <f t="shared" si="11"/>
        <v>3.5062532619930913E-2</v>
      </c>
      <c r="W24" s="723">
        <f t="shared" si="12"/>
        <v>1.6539905162411559</v>
      </c>
      <c r="X24" s="723"/>
      <c r="Y24" s="723">
        <f t="shared" si="13"/>
        <v>13375.685668893348</v>
      </c>
    </row>
    <row r="25" spans="2:25" ht="15" thickBot="1" x14ac:dyDescent="0.35">
      <c r="B25" s="749" t="s">
        <v>349</v>
      </c>
      <c r="C25" s="750">
        <f>'Biomass Data Assumptions'!U26</f>
        <v>0</v>
      </c>
      <c r="D25" s="751">
        <f t="shared" si="2"/>
        <v>0</v>
      </c>
      <c r="E25" s="751">
        <f t="shared" si="3"/>
        <v>0</v>
      </c>
      <c r="F25" s="751">
        <f t="shared" si="4"/>
        <v>0</v>
      </c>
      <c r="G25" s="752">
        <f t="shared" si="5"/>
        <v>0</v>
      </c>
      <c r="H25" s="753">
        <f>'Biomass Data Assumptions'!W26</f>
        <v>0</v>
      </c>
      <c r="I25" s="751">
        <v>0</v>
      </c>
      <c r="J25" s="751">
        <f t="shared" si="0"/>
        <v>0</v>
      </c>
      <c r="K25" s="754">
        <f t="shared" si="6"/>
        <v>0</v>
      </c>
      <c r="L25" s="754">
        <f t="shared" si="7"/>
        <v>0</v>
      </c>
      <c r="M25" s="750">
        <f>'Biomass Data Assumptions'!X26</f>
        <v>0</v>
      </c>
      <c r="N25" s="751">
        <f t="shared" si="14"/>
        <v>0</v>
      </c>
      <c r="O25" s="751">
        <f t="shared" si="1"/>
        <v>0</v>
      </c>
      <c r="P25" s="751">
        <f t="shared" si="8"/>
        <v>0</v>
      </c>
      <c r="Q25" s="752">
        <f t="shared" si="9"/>
        <v>0</v>
      </c>
      <c r="R25" s="1000">
        <f t="shared" si="10"/>
        <v>0</v>
      </c>
      <c r="S25" s="723"/>
      <c r="T25" s="723"/>
      <c r="U25" s="723"/>
      <c r="V25" s="723">
        <f t="shared" si="11"/>
        <v>0</v>
      </c>
      <c r="W25" s="723">
        <f t="shared" si="12"/>
        <v>0</v>
      </c>
      <c r="X25" s="723"/>
      <c r="Y25" s="723">
        <f t="shared" si="13"/>
        <v>0</v>
      </c>
    </row>
    <row r="26" spans="2:25" ht="15" thickBot="1" x14ac:dyDescent="0.35">
      <c r="B26" s="759" t="s">
        <v>350</v>
      </c>
      <c r="C26" s="760">
        <f>'Biomass Data Assumptions'!U27</f>
        <v>276.52688999999998</v>
      </c>
      <c r="D26" s="761">
        <f t="shared" si="2"/>
        <v>12509.092887863713</v>
      </c>
      <c r="E26" s="761">
        <f t="shared" si="3"/>
        <v>7231.400185088828</v>
      </c>
      <c r="F26" s="761">
        <f t="shared" si="4"/>
        <v>8030.6631252329298</v>
      </c>
      <c r="G26" s="762">
        <f t="shared" si="5"/>
        <v>7111.4193067505212</v>
      </c>
      <c r="H26" s="763">
        <f>'Biomass Data Assumptions'!W27</f>
        <v>182.89423300000001</v>
      </c>
      <c r="I26" s="764">
        <v>8459.68098151513</v>
      </c>
      <c r="J26" s="761">
        <f t="shared" si="0"/>
        <v>4782.8310308913515</v>
      </c>
      <c r="K26" s="765">
        <f t="shared" si="6"/>
        <v>5311.461654853385</v>
      </c>
      <c r="L26" s="765">
        <f t="shared" si="7"/>
        <v>4809.3286379913516</v>
      </c>
      <c r="M26" s="760">
        <f>'Biomass Data Assumptions'!X27</f>
        <v>93.632656999999995</v>
      </c>
      <c r="N26" s="761">
        <f t="shared" si="14"/>
        <v>4049.4119063485823</v>
      </c>
      <c r="O26" s="761">
        <f t="shared" si="1"/>
        <v>2448.569154197477</v>
      </c>
      <c r="P26" s="761">
        <f t="shared" si="8"/>
        <v>2719.2014703795458</v>
      </c>
      <c r="Q26" s="762">
        <f t="shared" si="9"/>
        <v>2302.0906687591691</v>
      </c>
      <c r="R26" s="1000">
        <f t="shared" si="10"/>
        <v>45032734.396309368</v>
      </c>
      <c r="S26" s="723"/>
      <c r="T26" s="723"/>
      <c r="U26" s="723"/>
      <c r="V26" s="723">
        <f t="shared" si="11"/>
        <v>2.1744301251489125E-2</v>
      </c>
      <c r="W26" s="723">
        <f t="shared" si="12"/>
        <v>0</v>
      </c>
      <c r="X26" s="723"/>
      <c r="Y26" s="723">
        <f t="shared" si="13"/>
        <v>8459.68098151513</v>
      </c>
    </row>
    <row r="27" spans="2:25" ht="15.6" thickTop="1" thickBot="1" x14ac:dyDescent="0.35">
      <c r="B27" s="766" t="s">
        <v>351</v>
      </c>
      <c r="C27" s="767">
        <f>SUM(C6:C26)</f>
        <v>21516.314404803205</v>
      </c>
      <c r="D27" s="768">
        <f>SUM(D6:D26)</f>
        <v>958406.83229458483</v>
      </c>
      <c r="E27" s="768">
        <f t="shared" ref="E27:Q27" si="16">SUM(E6:E26)</f>
        <v>562668.89621231158</v>
      </c>
      <c r="F27" s="768">
        <f t="shared" si="16"/>
        <v>624858.84349826246</v>
      </c>
      <c r="G27" s="769">
        <f t="shared" si="16"/>
        <v>544854.2841594714</v>
      </c>
      <c r="H27" s="770">
        <f t="shared" si="16"/>
        <v>11321.740941328062</v>
      </c>
      <c r="I27" s="768">
        <f t="shared" si="16"/>
        <v>517513.36108676094</v>
      </c>
      <c r="J27" s="768">
        <f t="shared" si="16"/>
        <v>296072.61535631318</v>
      </c>
      <c r="K27" s="771">
        <f t="shared" si="16"/>
        <v>328796.55027749104</v>
      </c>
      <c r="L27" s="771">
        <f t="shared" si="16"/>
        <v>294206.34577782365</v>
      </c>
      <c r="M27" s="767">
        <f t="shared" si="16"/>
        <v>10194.573463475141</v>
      </c>
      <c r="N27" s="768">
        <f t="shared" si="16"/>
        <v>440893.4712078239</v>
      </c>
      <c r="O27" s="768">
        <f t="shared" si="16"/>
        <v>266596.28085599846</v>
      </c>
      <c r="P27" s="768">
        <f t="shared" si="16"/>
        <v>296062.2932207713</v>
      </c>
      <c r="Q27" s="769">
        <f t="shared" si="16"/>
        <v>250647.93838164784</v>
      </c>
      <c r="R27" s="1000">
        <f>SUM(R6:R26)</f>
        <v>3450264596.2605057</v>
      </c>
      <c r="S27" s="723"/>
      <c r="T27" s="723"/>
      <c r="U27" s="723"/>
      <c r="V27" s="723"/>
      <c r="W27" s="723">
        <f>SUM(W6:W26)</f>
        <v>46.254498257006986</v>
      </c>
      <c r="X27" s="723"/>
      <c r="Y27" s="723"/>
    </row>
    <row r="28" spans="2:25" ht="15" x14ac:dyDescent="0.35">
      <c r="B28" s="726" t="s">
        <v>1246</v>
      </c>
      <c r="C28" s="726"/>
      <c r="D28" s="726"/>
      <c r="E28" s="726"/>
      <c r="F28" s="726"/>
      <c r="G28" s="726"/>
      <c r="H28" s="726"/>
      <c r="I28" s="726"/>
      <c r="J28" s="726"/>
      <c r="K28" s="726"/>
      <c r="L28" s="723"/>
      <c r="M28" s="723"/>
      <c r="N28" s="723"/>
      <c r="O28" s="723"/>
      <c r="P28" s="723"/>
      <c r="Q28" s="723"/>
      <c r="R28" s="723"/>
      <c r="S28" s="723"/>
      <c r="T28" s="723"/>
      <c r="U28" s="723"/>
      <c r="V28" s="723"/>
      <c r="W28" s="723"/>
      <c r="X28" s="723"/>
      <c r="Y28" s="723"/>
    </row>
    <row r="29" spans="2:25" x14ac:dyDescent="0.3">
      <c r="B29" s="772"/>
      <c r="C29" s="726" t="s">
        <v>1141</v>
      </c>
      <c r="D29" s="726"/>
      <c r="E29" s="726"/>
      <c r="F29" s="726"/>
      <c r="G29" s="726"/>
      <c r="H29" s="726"/>
      <c r="I29" s="726"/>
      <c r="J29" s="726"/>
      <c r="K29" s="726"/>
      <c r="L29" s="723"/>
      <c r="M29" s="723"/>
      <c r="N29" s="723"/>
      <c r="O29" s="723"/>
      <c r="P29" s="723"/>
      <c r="Q29" s="723"/>
      <c r="R29" s="723"/>
      <c r="S29" s="723"/>
      <c r="T29" s="723"/>
      <c r="U29" s="723"/>
      <c r="V29" s="723"/>
      <c r="W29" s="723"/>
      <c r="X29" s="723"/>
      <c r="Y29" s="723"/>
    </row>
    <row r="30" spans="2:25" x14ac:dyDescent="0.3">
      <c r="B30" s="773"/>
      <c r="C30" s="726" t="s">
        <v>1140</v>
      </c>
      <c r="D30" s="726"/>
      <c r="E30" s="726"/>
      <c r="F30" s="726"/>
      <c r="G30" s="726"/>
      <c r="H30" s="726"/>
      <c r="I30" s="726"/>
      <c r="J30" s="726"/>
      <c r="K30" s="726"/>
      <c r="L30" s="723"/>
      <c r="M30" s="723">
        <f>M27/H27*I27</f>
        <v>465990.87589704705</v>
      </c>
      <c r="N30" s="723"/>
      <c r="O30" s="723"/>
      <c r="P30" s="723"/>
      <c r="Q30" s="723"/>
      <c r="R30" s="723"/>
      <c r="S30" s="723"/>
      <c r="T30" s="723"/>
      <c r="U30" s="723"/>
      <c r="V30" s="723"/>
      <c r="W30" s="723"/>
      <c r="X30" s="723"/>
      <c r="Y30" s="723"/>
    </row>
    <row r="31" spans="2:25" x14ac:dyDescent="0.3">
      <c r="B31" s="723"/>
      <c r="C31" s="723"/>
      <c r="D31" s="723"/>
      <c r="E31" s="723"/>
      <c r="F31" s="723"/>
      <c r="G31" s="723"/>
      <c r="H31" s="723"/>
      <c r="I31" s="723"/>
      <c r="J31" s="723"/>
      <c r="K31" s="723"/>
      <c r="L31" s="723"/>
      <c r="M31" s="723"/>
      <c r="N31" s="723"/>
      <c r="O31" s="723"/>
      <c r="P31" s="723"/>
      <c r="Q31" s="723"/>
      <c r="R31" s="723"/>
      <c r="S31" s="723"/>
      <c r="T31" s="723"/>
      <c r="U31" s="723"/>
      <c r="V31" s="723"/>
      <c r="W31" s="723"/>
      <c r="X31" s="723"/>
      <c r="Y31" s="723"/>
    </row>
    <row r="32" spans="2:25" ht="15" customHeight="1" x14ac:dyDescent="0.3">
      <c r="B32" s="725" t="s">
        <v>1071</v>
      </c>
      <c r="C32" s="726"/>
      <c r="D32" s="726"/>
      <c r="E32" s="726"/>
      <c r="F32" s="726"/>
      <c r="G32" s="726"/>
      <c r="H32" s="726"/>
      <c r="I32" s="726"/>
      <c r="J32" s="726"/>
      <c r="K32" s="727"/>
      <c r="L32" s="727"/>
      <c r="M32" s="725"/>
      <c r="N32" s="723"/>
      <c r="O32" s="723"/>
      <c r="P32" s="723"/>
      <c r="Q32" s="723"/>
      <c r="R32" s="723"/>
      <c r="S32" s="723"/>
      <c r="T32" s="723"/>
      <c r="U32" s="723"/>
      <c r="V32" s="723"/>
      <c r="W32" s="723"/>
      <c r="X32" s="723"/>
      <c r="Y32" s="723"/>
    </row>
    <row r="33" spans="2:25" x14ac:dyDescent="0.3">
      <c r="B33" s="726" t="s">
        <v>1094</v>
      </c>
      <c r="C33" s="726"/>
      <c r="D33" s="726"/>
      <c r="E33" s="726"/>
      <c r="F33" s="726"/>
      <c r="G33" s="726"/>
      <c r="H33" s="726"/>
      <c r="I33" s="726"/>
      <c r="J33" s="726"/>
      <c r="K33" s="723"/>
      <c r="L33" s="723"/>
      <c r="M33" s="726"/>
      <c r="N33" s="723"/>
      <c r="O33" s="723"/>
      <c r="P33" s="723"/>
      <c r="Q33" s="723"/>
      <c r="R33" s="723"/>
      <c r="S33" s="723"/>
      <c r="T33" s="723"/>
      <c r="U33" s="723"/>
      <c r="V33" s="723"/>
      <c r="W33" s="723"/>
      <c r="X33" s="723"/>
      <c r="Y33" s="723"/>
    </row>
    <row r="34" spans="2:25" x14ac:dyDescent="0.3">
      <c r="B34" s="726" t="s">
        <v>1072</v>
      </c>
      <c r="C34" s="726"/>
      <c r="D34" s="726"/>
      <c r="E34" s="726"/>
      <c r="F34" s="726"/>
      <c r="G34" s="726"/>
      <c r="H34" s="726"/>
      <c r="I34" s="726"/>
      <c r="J34" s="726"/>
      <c r="K34" s="723"/>
      <c r="L34" s="723"/>
      <c r="M34" s="726"/>
      <c r="N34" s="723"/>
      <c r="O34" s="723"/>
      <c r="P34" s="723"/>
      <c r="Q34" s="723"/>
      <c r="R34" s="723"/>
      <c r="S34" s="723"/>
      <c r="T34" s="723"/>
      <c r="U34" s="723"/>
      <c r="V34" s="723"/>
      <c r="W34" s="723"/>
      <c r="X34" s="723"/>
      <c r="Y34" s="723"/>
    </row>
    <row r="35" spans="2:25" x14ac:dyDescent="0.3">
      <c r="B35" s="726" t="s">
        <v>1073</v>
      </c>
      <c r="C35" s="726"/>
      <c r="D35" s="726"/>
      <c r="E35" s="726"/>
      <c r="F35" s="726"/>
      <c r="G35" s="726"/>
      <c r="H35" s="726"/>
      <c r="I35" s="726"/>
      <c r="J35" s="726"/>
      <c r="K35" s="723"/>
      <c r="L35" s="723"/>
      <c r="M35" s="726"/>
      <c r="N35" s="723"/>
      <c r="O35" s="723"/>
      <c r="P35" s="723"/>
      <c r="Q35" s="723"/>
      <c r="R35" s="723"/>
      <c r="S35" s="723"/>
      <c r="T35" s="723"/>
      <c r="U35" s="723"/>
      <c r="V35" s="723"/>
      <c r="W35" s="723"/>
      <c r="X35" s="723"/>
      <c r="Y35" s="723"/>
    </row>
    <row r="36" spans="2:25" x14ac:dyDescent="0.3">
      <c r="B36" s="726" t="s">
        <v>1224</v>
      </c>
      <c r="C36" s="726"/>
      <c r="D36" s="726"/>
      <c r="E36" s="726"/>
      <c r="F36" s="726"/>
      <c r="G36" s="726"/>
      <c r="H36" s="726"/>
      <c r="I36" s="726"/>
      <c r="J36" s="726"/>
      <c r="K36" s="723"/>
      <c r="L36" s="723"/>
      <c r="M36" s="726"/>
      <c r="N36" s="723"/>
      <c r="O36" s="723"/>
      <c r="P36" s="723"/>
      <c r="Q36" s="723"/>
      <c r="R36" s="723"/>
      <c r="S36" s="723"/>
      <c r="T36" s="723"/>
      <c r="U36" s="723"/>
      <c r="V36" s="723"/>
      <c r="W36" s="723"/>
      <c r="X36" s="723"/>
      <c r="Y36" s="723"/>
    </row>
    <row r="37" spans="2:25" x14ac:dyDescent="0.3">
      <c r="B37" s="726" t="s">
        <v>1090</v>
      </c>
      <c r="C37" s="726"/>
      <c r="D37" s="726"/>
      <c r="E37" s="726"/>
      <c r="F37" s="726"/>
      <c r="G37" s="726"/>
      <c r="H37" s="726"/>
      <c r="I37" s="726"/>
      <c r="J37" s="726"/>
      <c r="K37" s="723"/>
      <c r="L37" s="723"/>
      <c r="M37" s="726"/>
      <c r="N37" s="723"/>
      <c r="O37" s="723"/>
      <c r="P37" s="723"/>
      <c r="Q37" s="723"/>
      <c r="R37" s="723"/>
      <c r="S37" s="723"/>
      <c r="T37" s="723"/>
      <c r="U37" s="723"/>
      <c r="V37" s="723"/>
      <c r="W37" s="723"/>
      <c r="X37" s="723"/>
      <c r="Y37" s="723"/>
    </row>
    <row r="38" spans="2:25" x14ac:dyDescent="0.3">
      <c r="B38" s="726"/>
      <c r="C38" s="726"/>
      <c r="D38" s="726"/>
      <c r="E38" s="726"/>
      <c r="F38" s="726"/>
      <c r="G38" s="726"/>
      <c r="H38" s="726"/>
      <c r="I38" s="726"/>
      <c r="J38" s="726"/>
      <c r="K38" s="723"/>
      <c r="L38" s="723"/>
      <c r="M38" s="726"/>
      <c r="N38" s="723"/>
      <c r="O38" s="723"/>
      <c r="P38" s="723"/>
      <c r="Q38" s="723"/>
      <c r="R38" s="723"/>
      <c r="S38" s="723"/>
      <c r="T38" s="723"/>
      <c r="U38" s="723"/>
      <c r="V38" s="723"/>
      <c r="W38" s="723"/>
      <c r="X38" s="723"/>
      <c r="Y38" s="723"/>
    </row>
    <row r="39" spans="2:25" ht="15" x14ac:dyDescent="0.35">
      <c r="B39" s="725" t="s">
        <v>1225</v>
      </c>
      <c r="C39" s="726"/>
      <c r="D39" s="726"/>
      <c r="E39" s="726"/>
      <c r="F39" s="726"/>
      <c r="G39" s="726"/>
      <c r="H39" s="726"/>
      <c r="I39" s="726"/>
      <c r="J39" s="726"/>
      <c r="K39" s="723"/>
      <c r="L39" s="723"/>
      <c r="M39" s="726"/>
      <c r="N39" s="723"/>
      <c r="O39" s="723"/>
      <c r="P39" s="723"/>
      <c r="Q39" s="723"/>
      <c r="R39" s="723"/>
      <c r="S39" s="723"/>
      <c r="T39" s="723"/>
      <c r="U39" s="723"/>
      <c r="V39" s="723"/>
      <c r="W39" s="723"/>
      <c r="X39" s="723"/>
      <c r="Y39" s="723"/>
    </row>
    <row r="40" spans="2:25" x14ac:dyDescent="0.3">
      <c r="B40" s="726" t="s">
        <v>1091</v>
      </c>
      <c r="C40" s="726"/>
      <c r="D40" s="726"/>
      <c r="E40" s="726"/>
      <c r="F40" s="726"/>
      <c r="G40" s="726"/>
      <c r="H40" s="726"/>
      <c r="I40" s="726"/>
      <c r="J40" s="726"/>
      <c r="K40" s="723"/>
      <c r="L40" s="723"/>
      <c r="M40" s="726"/>
      <c r="N40" s="723"/>
      <c r="O40" s="723"/>
      <c r="P40" s="723"/>
      <c r="Q40" s="723"/>
      <c r="R40" s="723"/>
      <c r="S40" s="723"/>
      <c r="T40" s="723"/>
      <c r="U40" s="723"/>
      <c r="V40" s="723"/>
      <c r="W40" s="723"/>
      <c r="X40" s="723"/>
      <c r="Y40" s="723"/>
    </row>
    <row r="41" spans="2:25" x14ac:dyDescent="0.3">
      <c r="B41" s="726" t="s">
        <v>1226</v>
      </c>
      <c r="C41" s="726"/>
      <c r="D41" s="726"/>
      <c r="E41" s="726"/>
      <c r="F41" s="726"/>
      <c r="G41" s="726"/>
      <c r="H41" s="726"/>
      <c r="I41" s="726"/>
      <c r="J41" s="726"/>
      <c r="K41" s="723"/>
      <c r="L41" s="723"/>
      <c r="M41" s="726"/>
      <c r="N41" s="723"/>
      <c r="O41" s="723"/>
      <c r="P41" s="723"/>
      <c r="Q41" s="723"/>
      <c r="R41" s="723"/>
      <c r="S41" s="723"/>
      <c r="T41" s="723"/>
      <c r="U41" s="723"/>
      <c r="V41" s="723"/>
      <c r="W41" s="723"/>
      <c r="X41" s="723"/>
      <c r="Y41" s="723"/>
    </row>
    <row r="42" spans="2:25" x14ac:dyDescent="0.3">
      <c r="B42" s="726" t="s">
        <v>1072</v>
      </c>
      <c r="C42" s="726"/>
      <c r="D42" s="726"/>
      <c r="E42" s="726"/>
      <c r="F42" s="726"/>
      <c r="G42" s="726"/>
      <c r="H42" s="726"/>
      <c r="I42" s="726"/>
      <c r="J42" s="726"/>
      <c r="K42" s="723"/>
      <c r="L42" s="723"/>
      <c r="M42" s="726"/>
      <c r="N42" s="723"/>
      <c r="O42" s="723"/>
      <c r="P42" s="723"/>
      <c r="Q42" s="723"/>
      <c r="R42" s="723"/>
      <c r="S42" s="723"/>
      <c r="T42" s="723"/>
      <c r="U42" s="723"/>
      <c r="V42" s="723"/>
      <c r="W42" s="723"/>
      <c r="X42" s="723"/>
      <c r="Y42" s="723"/>
    </row>
    <row r="43" spans="2:25" x14ac:dyDescent="0.3">
      <c r="B43" s="726" t="s">
        <v>1074</v>
      </c>
      <c r="C43" s="726"/>
      <c r="D43" s="726"/>
      <c r="E43" s="726"/>
      <c r="F43" s="726"/>
      <c r="G43" s="726"/>
      <c r="H43" s="726"/>
      <c r="I43" s="726"/>
      <c r="J43" s="726"/>
      <c r="K43" s="723"/>
      <c r="L43" s="723"/>
      <c r="M43" s="726"/>
      <c r="N43" s="723"/>
      <c r="O43" s="723"/>
      <c r="P43" s="723"/>
      <c r="Q43" s="723"/>
      <c r="R43" s="723"/>
      <c r="S43" s="723"/>
      <c r="T43" s="723"/>
      <c r="U43" s="723"/>
      <c r="V43" s="723"/>
      <c r="W43" s="723"/>
      <c r="X43" s="723"/>
      <c r="Y43" s="723"/>
    </row>
    <row r="44" spans="2:25" x14ac:dyDescent="0.3">
      <c r="B44" s="726" t="s">
        <v>1227</v>
      </c>
      <c r="C44" s="726"/>
      <c r="D44" s="726"/>
      <c r="E44" s="726"/>
      <c r="F44" s="726"/>
      <c r="G44" s="726"/>
      <c r="H44" s="726"/>
      <c r="I44" s="726"/>
      <c r="J44" s="726"/>
      <c r="K44" s="723"/>
      <c r="L44" s="723"/>
      <c r="M44" s="726"/>
      <c r="N44" s="723"/>
      <c r="O44" s="723"/>
      <c r="P44" s="723"/>
      <c r="Q44" s="723"/>
      <c r="R44" s="723"/>
      <c r="S44" s="723"/>
      <c r="T44" s="723"/>
      <c r="U44" s="723"/>
      <c r="V44" s="723"/>
      <c r="W44" s="723"/>
      <c r="X44" s="723"/>
      <c r="Y44" s="723"/>
    </row>
    <row r="45" spans="2:25" x14ac:dyDescent="0.3">
      <c r="B45" s="726" t="s">
        <v>1228</v>
      </c>
      <c r="C45" s="726"/>
      <c r="D45" s="726"/>
      <c r="E45" s="726"/>
      <c r="F45" s="726"/>
      <c r="G45" s="726"/>
      <c r="H45" s="726"/>
      <c r="I45" s="726"/>
      <c r="J45" s="726"/>
      <c r="K45" s="723"/>
      <c r="L45" s="723"/>
      <c r="M45" s="726"/>
      <c r="N45" s="723"/>
      <c r="O45" s="723"/>
      <c r="P45" s="723"/>
      <c r="Q45" s="723"/>
      <c r="R45" s="723"/>
      <c r="S45" s="723"/>
      <c r="T45" s="723"/>
      <c r="U45" s="723"/>
      <c r="V45" s="723"/>
      <c r="W45" s="723"/>
      <c r="X45" s="723"/>
      <c r="Y45" s="723"/>
    </row>
    <row r="46" spans="2:25" x14ac:dyDescent="0.3">
      <c r="B46" s="726" t="s">
        <v>1075</v>
      </c>
      <c r="C46" s="726"/>
      <c r="D46" s="726"/>
      <c r="E46" s="726"/>
      <c r="F46" s="726"/>
      <c r="G46" s="726"/>
      <c r="H46" s="726"/>
      <c r="I46" s="726"/>
      <c r="J46" s="726"/>
      <c r="K46" s="723"/>
      <c r="L46" s="723"/>
      <c r="M46" s="726"/>
      <c r="N46" s="723"/>
      <c r="O46" s="723"/>
      <c r="P46" s="723"/>
      <c r="Q46" s="723"/>
      <c r="R46" s="723"/>
      <c r="S46" s="723"/>
      <c r="T46" s="723"/>
      <c r="U46" s="723"/>
      <c r="V46" s="723"/>
      <c r="W46" s="723"/>
      <c r="X46" s="723"/>
      <c r="Y46" s="723"/>
    </row>
    <row r="47" spans="2:25" x14ac:dyDescent="0.3">
      <c r="B47" s="726"/>
      <c r="C47" s="726"/>
      <c r="D47" s="726"/>
      <c r="E47" s="726"/>
      <c r="F47" s="726"/>
      <c r="G47" s="726"/>
      <c r="H47" s="726"/>
      <c r="I47" s="726"/>
      <c r="J47" s="726"/>
      <c r="K47" s="723"/>
      <c r="L47" s="723"/>
      <c r="M47" s="726"/>
      <c r="N47" s="723"/>
      <c r="O47" s="723"/>
      <c r="P47" s="723"/>
      <c r="Q47" s="723"/>
      <c r="R47" s="723"/>
      <c r="S47" s="723"/>
      <c r="T47" s="723"/>
      <c r="U47" s="723"/>
      <c r="V47" s="723"/>
      <c r="W47" s="723"/>
      <c r="X47" s="723"/>
      <c r="Y47" s="723"/>
    </row>
    <row r="48" spans="2:25" ht="15" x14ac:dyDescent="0.35">
      <c r="B48" s="725" t="s">
        <v>1229</v>
      </c>
      <c r="C48" s="726"/>
      <c r="D48" s="726"/>
      <c r="E48" s="726"/>
      <c r="F48" s="726"/>
      <c r="G48" s="726"/>
      <c r="H48" s="726"/>
      <c r="I48" s="726"/>
      <c r="J48" s="726"/>
      <c r="K48" s="723"/>
      <c r="L48" s="723"/>
      <c r="M48" s="726"/>
      <c r="N48" s="723"/>
      <c r="O48" s="723"/>
      <c r="P48" s="723"/>
      <c r="Q48" s="723"/>
      <c r="R48" s="723"/>
      <c r="S48" s="723"/>
      <c r="T48" s="723"/>
      <c r="U48" s="723"/>
      <c r="V48" s="723"/>
      <c r="W48" s="723"/>
      <c r="X48" s="723"/>
      <c r="Y48" s="723"/>
    </row>
    <row r="49" spans="2:25" x14ac:dyDescent="0.3">
      <c r="B49" s="726" t="s">
        <v>1092</v>
      </c>
      <c r="C49" s="726"/>
      <c r="D49" s="726"/>
      <c r="E49" s="726"/>
      <c r="F49" s="726"/>
      <c r="G49" s="726"/>
      <c r="H49" s="726"/>
      <c r="I49" s="726"/>
      <c r="J49" s="726"/>
      <c r="K49" s="723"/>
      <c r="L49" s="723"/>
      <c r="M49" s="726"/>
      <c r="N49" s="723"/>
      <c r="O49" s="723"/>
      <c r="P49" s="723"/>
      <c r="Q49" s="723"/>
      <c r="R49" s="723"/>
      <c r="S49" s="723"/>
      <c r="T49" s="723"/>
      <c r="U49" s="723"/>
      <c r="V49" s="723"/>
      <c r="W49" s="723"/>
      <c r="X49" s="723"/>
      <c r="Y49" s="723"/>
    </row>
    <row r="50" spans="2:25" ht="15" x14ac:dyDescent="0.35">
      <c r="B50" s="726" t="s">
        <v>1230</v>
      </c>
      <c r="C50" s="726"/>
      <c r="D50" s="726"/>
      <c r="E50" s="726"/>
      <c r="F50" s="726"/>
      <c r="G50" s="726"/>
      <c r="H50" s="726"/>
      <c r="I50" s="726"/>
      <c r="J50" s="726"/>
      <c r="K50" s="723"/>
      <c r="L50" s="723"/>
      <c r="M50" s="726"/>
      <c r="N50" s="723"/>
      <c r="O50" s="723"/>
      <c r="P50" s="723"/>
      <c r="Q50" s="723"/>
      <c r="R50" s="723"/>
      <c r="S50" s="723"/>
      <c r="T50" s="723"/>
      <c r="U50" s="723"/>
      <c r="V50" s="723"/>
      <c r="W50" s="723"/>
      <c r="X50" s="723"/>
      <c r="Y50" s="723"/>
    </row>
    <row r="51" spans="2:25" x14ac:dyDescent="0.3">
      <c r="B51" s="726" t="s">
        <v>1076</v>
      </c>
      <c r="C51" s="726"/>
      <c r="D51" s="726"/>
      <c r="E51" s="726"/>
      <c r="F51" s="726"/>
      <c r="G51" s="726"/>
      <c r="H51" s="726"/>
      <c r="I51" s="726"/>
      <c r="J51" s="726"/>
      <c r="K51" s="723"/>
      <c r="L51" s="723"/>
      <c r="M51" s="726"/>
      <c r="N51" s="723"/>
      <c r="O51" s="723"/>
      <c r="P51" s="723"/>
      <c r="Q51" s="723"/>
      <c r="R51" s="723"/>
      <c r="S51" s="723"/>
      <c r="T51" s="723"/>
      <c r="U51" s="723"/>
      <c r="V51" s="723"/>
      <c r="W51" s="723"/>
      <c r="X51" s="723"/>
      <c r="Y51" s="723"/>
    </row>
    <row r="52" spans="2:25" x14ac:dyDescent="0.3">
      <c r="B52" s="726" t="s">
        <v>1077</v>
      </c>
      <c r="C52" s="726"/>
      <c r="D52" s="726"/>
      <c r="E52" s="726"/>
      <c r="F52" s="726"/>
      <c r="G52" s="726"/>
      <c r="H52" s="726"/>
      <c r="I52" s="726"/>
      <c r="J52" s="726"/>
      <c r="K52" s="723"/>
      <c r="L52" s="723"/>
      <c r="M52" s="726"/>
      <c r="N52" s="723"/>
      <c r="O52" s="723"/>
      <c r="P52" s="723"/>
      <c r="Q52" s="723"/>
      <c r="R52" s="723"/>
      <c r="S52" s="723"/>
      <c r="T52" s="723"/>
      <c r="U52" s="723"/>
      <c r="V52" s="723"/>
      <c r="W52" s="723"/>
      <c r="X52" s="723"/>
      <c r="Y52" s="723"/>
    </row>
    <row r="53" spans="2:25" x14ac:dyDescent="0.3">
      <c r="B53" s="726" t="s">
        <v>1075</v>
      </c>
      <c r="C53" s="726"/>
      <c r="D53" s="726"/>
      <c r="E53" s="726"/>
      <c r="F53" s="726"/>
      <c r="G53" s="726"/>
      <c r="H53" s="726"/>
      <c r="I53" s="726"/>
      <c r="J53" s="726"/>
      <c r="K53" s="723"/>
      <c r="L53" s="723"/>
      <c r="M53" s="726"/>
      <c r="N53" s="723"/>
      <c r="O53" s="723"/>
      <c r="P53" s="723"/>
      <c r="Q53" s="723"/>
      <c r="R53" s="723"/>
      <c r="S53" s="723"/>
      <c r="T53" s="723"/>
      <c r="U53" s="723"/>
      <c r="V53" s="723"/>
      <c r="W53" s="723"/>
      <c r="X53" s="723"/>
      <c r="Y53" s="723"/>
    </row>
    <row r="54" spans="2:25" x14ac:dyDescent="0.3">
      <c r="B54" s="723"/>
      <c r="C54" s="723"/>
      <c r="D54" s="723"/>
      <c r="E54" s="723"/>
      <c r="F54" s="723"/>
      <c r="G54" s="723"/>
      <c r="H54" s="723"/>
      <c r="I54" s="723"/>
      <c r="J54" s="723"/>
      <c r="K54" s="723"/>
      <c r="L54" s="723"/>
      <c r="M54" s="723"/>
      <c r="N54" s="723"/>
      <c r="O54" s="723"/>
      <c r="P54" s="723"/>
      <c r="Q54" s="723"/>
      <c r="R54" s="723"/>
      <c r="S54" s="723"/>
      <c r="T54" s="723"/>
      <c r="U54" s="723"/>
      <c r="V54" s="723"/>
      <c r="W54" s="723"/>
      <c r="X54" s="723"/>
      <c r="Y54" s="723"/>
    </row>
    <row r="55" spans="2:25" ht="15" x14ac:dyDescent="0.35">
      <c r="B55" s="726" t="s">
        <v>1231</v>
      </c>
      <c r="C55" s="726"/>
      <c r="D55" s="726"/>
      <c r="E55" s="726"/>
      <c r="F55" s="726"/>
      <c r="G55" s="726"/>
      <c r="H55" s="726"/>
      <c r="I55" s="726"/>
      <c r="J55" s="726"/>
      <c r="K55" s="726"/>
      <c r="L55" s="726"/>
      <c r="M55" s="726"/>
      <c r="N55" s="726"/>
      <c r="O55" s="726"/>
      <c r="P55" s="723"/>
      <c r="Q55" s="723"/>
      <c r="R55" s="723"/>
      <c r="S55" s="723"/>
      <c r="T55" s="723"/>
      <c r="U55" s="723"/>
      <c r="V55" s="723"/>
      <c r="W55" s="723"/>
      <c r="X55" s="723"/>
      <c r="Y55" s="723"/>
    </row>
    <row r="56" spans="2:25" x14ac:dyDescent="0.3">
      <c r="B56" s="1184" t="s">
        <v>1188</v>
      </c>
      <c r="C56" s="1184"/>
      <c r="D56" s="1184"/>
      <c r="E56" s="1184"/>
      <c r="F56" s="1184"/>
      <c r="G56" s="1184"/>
      <c r="H56" s="1184"/>
      <c r="I56" s="1184"/>
      <c r="J56" s="1184"/>
      <c r="K56" s="1184"/>
      <c r="L56" s="794"/>
      <c r="M56" s="794"/>
      <c r="N56" s="663"/>
      <c r="O56" s="663"/>
      <c r="P56" s="723"/>
      <c r="Q56" s="723"/>
      <c r="R56" s="723"/>
      <c r="S56" s="723"/>
      <c r="T56" s="723"/>
      <c r="U56" s="723"/>
      <c r="V56" s="723"/>
      <c r="W56" s="723"/>
      <c r="X56" s="723"/>
      <c r="Y56" s="723"/>
    </row>
    <row r="57" spans="2:25" ht="15" customHeight="1" x14ac:dyDescent="0.3">
      <c r="B57" s="1185" t="s">
        <v>1078</v>
      </c>
      <c r="C57" s="1185"/>
      <c r="D57" s="1185"/>
      <c r="E57" s="1185"/>
      <c r="F57" s="1185"/>
      <c r="G57" s="1185"/>
      <c r="H57" s="1185"/>
      <c r="I57" s="1185"/>
      <c r="J57" s="1185"/>
      <c r="K57" s="1185"/>
      <c r="L57" s="662"/>
      <c r="M57" s="662"/>
      <c r="N57" s="662"/>
      <c r="O57" s="662"/>
      <c r="P57" s="723"/>
      <c r="Q57" s="723"/>
      <c r="R57" s="723"/>
      <c r="S57" s="723"/>
      <c r="T57" s="723"/>
      <c r="U57" s="723"/>
      <c r="V57" s="723"/>
      <c r="W57" s="723"/>
      <c r="X57" s="723"/>
      <c r="Y57" s="723"/>
    </row>
    <row r="58" spans="2:25" x14ac:dyDescent="0.3">
      <c r="B58" s="1185"/>
      <c r="C58" s="1185"/>
      <c r="D58" s="1185"/>
      <c r="E58" s="1185"/>
      <c r="F58" s="1185"/>
      <c r="G58" s="1185"/>
      <c r="H58" s="1185"/>
      <c r="I58" s="1185"/>
      <c r="J58" s="1185"/>
      <c r="K58" s="1185"/>
      <c r="L58" s="662"/>
      <c r="M58" s="662"/>
      <c r="N58" s="662"/>
      <c r="O58" s="662"/>
      <c r="P58" s="723"/>
      <c r="Q58" s="723"/>
      <c r="R58" s="723"/>
      <c r="S58" s="723"/>
      <c r="T58" s="723"/>
      <c r="U58" s="723"/>
      <c r="V58" s="723"/>
      <c r="W58" s="723"/>
      <c r="X58" s="723"/>
      <c r="Y58" s="723"/>
    </row>
    <row r="59" spans="2:25" x14ac:dyDescent="0.3">
      <c r="B59" s="1185"/>
      <c r="C59" s="1185"/>
      <c r="D59" s="1185"/>
      <c r="E59" s="1185"/>
      <c r="F59" s="1185"/>
      <c r="G59" s="1185"/>
      <c r="H59" s="1185"/>
      <c r="I59" s="1185"/>
      <c r="J59" s="1185"/>
      <c r="K59" s="1185"/>
      <c r="L59" s="662"/>
      <c r="M59" s="662"/>
      <c r="N59" s="662"/>
      <c r="O59" s="662"/>
      <c r="P59" s="723"/>
      <c r="Q59" s="723"/>
      <c r="R59" s="723"/>
      <c r="S59" s="723"/>
      <c r="T59" s="723"/>
      <c r="U59" s="723"/>
      <c r="V59" s="723"/>
      <c r="W59" s="723"/>
      <c r="X59" s="723"/>
      <c r="Y59" s="723"/>
    </row>
    <row r="60" spans="2:25" x14ac:dyDescent="0.3">
      <c r="B60" s="1185"/>
      <c r="C60" s="1185"/>
      <c r="D60" s="1185"/>
      <c r="E60" s="1185"/>
      <c r="F60" s="1185"/>
      <c r="G60" s="1185"/>
      <c r="H60" s="1185"/>
      <c r="I60" s="1185"/>
      <c r="J60" s="1185"/>
      <c r="K60" s="1185"/>
      <c r="L60" s="662"/>
      <c r="M60" s="662"/>
      <c r="N60" s="662"/>
      <c r="O60" s="662"/>
      <c r="P60" s="723"/>
      <c r="Q60" s="723"/>
      <c r="R60" s="723"/>
      <c r="S60" s="723"/>
      <c r="T60" s="723"/>
      <c r="U60" s="723"/>
      <c r="V60" s="723"/>
      <c r="W60" s="723"/>
      <c r="X60" s="723"/>
      <c r="Y60" s="723"/>
    </row>
    <row r="61" spans="2:25" ht="15" x14ac:dyDescent="0.35">
      <c r="B61" s="1183" t="s">
        <v>1079</v>
      </c>
      <c r="C61" s="1183"/>
      <c r="D61" s="1183"/>
      <c r="E61" s="1183"/>
      <c r="F61" s="1183"/>
      <c r="G61" s="1183"/>
      <c r="H61" s="1183"/>
      <c r="I61" s="1183"/>
      <c r="J61" s="1183"/>
      <c r="K61" s="1183"/>
      <c r="L61" s="664"/>
      <c r="M61" s="664"/>
      <c r="N61" s="664"/>
      <c r="O61" s="664"/>
      <c r="P61" s="723"/>
      <c r="Q61" s="723"/>
      <c r="R61" s="723"/>
      <c r="S61" s="723"/>
      <c r="T61" s="723"/>
      <c r="U61" s="723"/>
      <c r="V61" s="723"/>
      <c r="W61" s="723"/>
      <c r="X61" s="723"/>
      <c r="Y61" s="723"/>
    </row>
    <row r="62" spans="2:25" x14ac:dyDescent="0.3">
      <c r="B62" s="723"/>
      <c r="C62" s="723"/>
      <c r="D62" s="723"/>
      <c r="E62" s="723"/>
      <c r="F62" s="723"/>
      <c r="G62" s="723"/>
      <c r="H62" s="723"/>
      <c r="I62" s="723"/>
      <c r="J62" s="723"/>
      <c r="K62" s="723"/>
      <c r="L62" s="723"/>
      <c r="M62" s="723"/>
      <c r="N62" s="723"/>
      <c r="O62" s="723"/>
      <c r="P62" s="723"/>
      <c r="Q62" s="723"/>
      <c r="R62" s="723"/>
      <c r="S62" s="723"/>
      <c r="T62" s="723"/>
      <c r="U62" s="723"/>
      <c r="V62" s="723"/>
      <c r="W62" s="723"/>
      <c r="X62" s="723"/>
      <c r="Y62" s="723"/>
    </row>
    <row r="63" spans="2:25" ht="15" x14ac:dyDescent="0.35">
      <c r="B63" s="726" t="s">
        <v>1232</v>
      </c>
      <c r="C63" s="726"/>
      <c r="D63" s="726"/>
      <c r="E63" s="726"/>
      <c r="F63" s="726"/>
      <c r="G63" s="726"/>
      <c r="H63" s="726"/>
      <c r="I63" s="726"/>
      <c r="J63" s="726"/>
      <c r="K63" s="726"/>
      <c r="L63" s="726"/>
      <c r="M63" s="726"/>
      <c r="N63" s="726"/>
      <c r="O63" s="723"/>
      <c r="P63" s="723"/>
      <c r="Q63" s="723"/>
      <c r="R63" s="723"/>
      <c r="S63" s="723"/>
      <c r="T63" s="723"/>
      <c r="U63" s="723"/>
      <c r="V63" s="723"/>
      <c r="W63" s="723"/>
      <c r="X63" s="723"/>
      <c r="Y63" s="723"/>
    </row>
    <row r="64" spans="2:25" ht="15" x14ac:dyDescent="0.35">
      <c r="B64" s="728" t="s">
        <v>1080</v>
      </c>
      <c r="C64" s="729" t="s">
        <v>1233</v>
      </c>
      <c r="D64" s="729"/>
      <c r="E64" s="729"/>
      <c r="F64" s="729"/>
      <c r="G64" s="729"/>
      <c r="H64" s="729"/>
      <c r="I64" s="729"/>
      <c r="J64" s="729"/>
      <c r="K64" s="729"/>
      <c r="L64" s="792"/>
      <c r="M64" s="731"/>
      <c r="N64" s="731"/>
      <c r="O64" s="732"/>
      <c r="P64" s="723"/>
      <c r="Q64" s="723"/>
      <c r="R64" s="723"/>
      <c r="S64" s="723"/>
      <c r="T64" s="723"/>
      <c r="U64" s="723"/>
      <c r="V64" s="723"/>
      <c r="W64" s="723"/>
      <c r="X64" s="723"/>
      <c r="Y64" s="723"/>
    </row>
    <row r="65" spans="2:25" x14ac:dyDescent="0.3">
      <c r="B65" s="733"/>
      <c r="C65" s="734"/>
      <c r="D65" s="734"/>
      <c r="E65" s="734"/>
      <c r="F65" s="734"/>
      <c r="G65" s="734"/>
      <c r="H65" s="734"/>
      <c r="I65" s="734"/>
      <c r="J65" s="734"/>
      <c r="K65" s="734"/>
      <c r="L65" s="793"/>
      <c r="M65" s="732"/>
      <c r="N65" s="732"/>
      <c r="O65" s="732"/>
      <c r="P65" s="723"/>
      <c r="Q65" s="723"/>
      <c r="R65" s="723"/>
      <c r="S65" s="723"/>
      <c r="T65" s="723"/>
      <c r="U65" s="723"/>
      <c r="V65" s="723"/>
      <c r="W65" s="723"/>
      <c r="X65" s="723"/>
      <c r="Y65" s="723"/>
    </row>
    <row r="66" spans="2:25" x14ac:dyDescent="0.3">
      <c r="B66" s="736" t="s">
        <v>1081</v>
      </c>
      <c r="C66" s="737"/>
      <c r="D66" s="734"/>
      <c r="E66" s="734"/>
      <c r="F66" s="734"/>
      <c r="G66" s="734"/>
      <c r="H66" s="734"/>
      <c r="I66" s="734"/>
      <c r="J66" s="734"/>
      <c r="K66" s="734"/>
      <c r="L66" s="793"/>
      <c r="M66" s="732"/>
      <c r="N66" s="732"/>
      <c r="O66" s="732"/>
      <c r="P66" s="723"/>
      <c r="Q66" s="723"/>
      <c r="R66" s="723"/>
      <c r="S66" s="723"/>
      <c r="T66" s="723"/>
      <c r="U66" s="723"/>
      <c r="V66" s="723"/>
      <c r="W66" s="723"/>
      <c r="X66" s="723"/>
      <c r="Y66" s="723"/>
    </row>
    <row r="67" spans="2:25" x14ac:dyDescent="0.3">
      <c r="B67" s="736"/>
      <c r="C67" s="737" t="s">
        <v>1082</v>
      </c>
      <c r="D67" s="734"/>
      <c r="E67" s="734"/>
      <c r="F67" s="734"/>
      <c r="G67" s="734"/>
      <c r="H67" s="734"/>
      <c r="I67" s="734"/>
      <c r="J67" s="734"/>
      <c r="K67" s="734"/>
      <c r="L67" s="793"/>
      <c r="M67" s="732"/>
      <c r="N67" s="732"/>
      <c r="O67" s="732"/>
      <c r="P67" s="723"/>
      <c r="Q67" s="723"/>
      <c r="R67" s="723"/>
      <c r="S67" s="723"/>
      <c r="T67" s="723"/>
      <c r="U67" s="723"/>
      <c r="V67" s="723"/>
      <c r="W67" s="723"/>
      <c r="X67" s="723"/>
      <c r="Y67" s="723"/>
    </row>
    <row r="68" spans="2:25" x14ac:dyDescent="0.3">
      <c r="B68" s="736" t="s">
        <v>1083</v>
      </c>
      <c r="C68" s="737"/>
      <c r="D68" s="734"/>
      <c r="E68" s="734"/>
      <c r="F68" s="734"/>
      <c r="G68" s="734"/>
      <c r="H68" s="734"/>
      <c r="I68" s="734"/>
      <c r="J68" s="734"/>
      <c r="K68" s="734"/>
      <c r="L68" s="793"/>
      <c r="M68" s="732"/>
      <c r="N68" s="732"/>
      <c r="O68" s="732"/>
      <c r="P68" s="723"/>
      <c r="Q68" s="723"/>
      <c r="R68" s="723"/>
      <c r="S68" s="723"/>
      <c r="T68" s="723"/>
      <c r="U68" s="723"/>
      <c r="V68" s="723"/>
      <c r="W68" s="723"/>
      <c r="X68" s="723"/>
      <c r="Y68" s="723"/>
    </row>
    <row r="69" spans="2:25" x14ac:dyDescent="0.3">
      <c r="B69" s="736"/>
      <c r="C69" s="737" t="s">
        <v>1084</v>
      </c>
      <c r="D69" s="734"/>
      <c r="E69" s="734"/>
      <c r="F69" s="734"/>
      <c r="G69" s="734"/>
      <c r="H69" s="734"/>
      <c r="I69" s="734"/>
      <c r="J69" s="734"/>
      <c r="K69" s="734"/>
      <c r="L69" s="793"/>
      <c r="M69" s="732"/>
      <c r="N69" s="732"/>
      <c r="O69" s="732"/>
      <c r="P69" s="723"/>
      <c r="Q69" s="723"/>
      <c r="R69" s="723"/>
      <c r="S69" s="723"/>
      <c r="T69" s="723"/>
      <c r="U69" s="723"/>
      <c r="V69" s="723"/>
      <c r="W69" s="723"/>
      <c r="X69" s="723"/>
      <c r="Y69" s="723"/>
    </row>
    <row r="70" spans="2:25" ht="15" x14ac:dyDescent="0.35">
      <c r="B70" s="736" t="s">
        <v>1234</v>
      </c>
      <c r="C70" s="737"/>
      <c r="D70" s="734"/>
      <c r="E70" s="734"/>
      <c r="F70" s="734"/>
      <c r="G70" s="734"/>
      <c r="H70" s="734"/>
      <c r="I70" s="734"/>
      <c r="J70" s="734"/>
      <c r="K70" s="734"/>
      <c r="L70" s="793"/>
      <c r="M70" s="732"/>
      <c r="N70" s="732"/>
      <c r="O70" s="732"/>
      <c r="P70" s="723"/>
      <c r="Q70" s="723"/>
      <c r="R70" s="723"/>
      <c r="S70" s="723"/>
      <c r="T70" s="723"/>
      <c r="U70" s="723"/>
      <c r="V70" s="723"/>
      <c r="W70" s="723"/>
      <c r="X70" s="723"/>
      <c r="Y70" s="723"/>
    </row>
    <row r="71" spans="2:25" ht="15" x14ac:dyDescent="0.35">
      <c r="B71" s="736"/>
      <c r="C71" s="737" t="s">
        <v>1235</v>
      </c>
      <c r="D71" s="734"/>
      <c r="E71" s="734"/>
      <c r="F71" s="734"/>
      <c r="G71" s="734"/>
      <c r="H71" s="734"/>
      <c r="I71" s="734"/>
      <c r="J71" s="734"/>
      <c r="K71" s="734"/>
      <c r="L71" s="793"/>
      <c r="M71" s="732"/>
      <c r="N71" s="732"/>
      <c r="O71" s="732"/>
      <c r="P71" s="723"/>
      <c r="Q71" s="723"/>
      <c r="R71" s="723"/>
      <c r="S71" s="723"/>
      <c r="T71" s="723"/>
      <c r="U71" s="723"/>
      <c r="V71" s="723"/>
      <c r="W71" s="723"/>
      <c r="X71" s="723"/>
      <c r="Y71" s="723"/>
    </row>
    <row r="72" spans="2:25" ht="15" x14ac:dyDescent="0.35">
      <c r="B72" s="738" t="s">
        <v>1236</v>
      </c>
      <c r="C72" s="739"/>
      <c r="D72" s="739"/>
      <c r="E72" s="739"/>
      <c r="F72" s="739"/>
      <c r="G72" s="739"/>
      <c r="H72" s="739"/>
      <c r="I72" s="739"/>
      <c r="J72" s="739"/>
      <c r="K72" s="739"/>
      <c r="L72" s="793"/>
      <c r="M72" s="732"/>
      <c r="N72" s="732"/>
      <c r="O72" s="732"/>
      <c r="P72" s="723"/>
      <c r="Q72" s="723"/>
      <c r="R72" s="723"/>
      <c r="S72" s="723"/>
      <c r="T72" s="723"/>
      <c r="U72" s="723"/>
      <c r="V72" s="723"/>
      <c r="W72" s="723"/>
      <c r="X72" s="723"/>
      <c r="Y72" s="723"/>
    </row>
    <row r="73" spans="2:25" x14ac:dyDescent="0.3">
      <c r="B73" s="726"/>
      <c r="C73" s="723"/>
      <c r="D73" s="723"/>
      <c r="E73" s="723"/>
      <c r="F73" s="723"/>
      <c r="G73" s="723"/>
      <c r="H73" s="723"/>
      <c r="I73" s="723"/>
      <c r="J73" s="723"/>
      <c r="K73" s="723"/>
      <c r="L73" s="723"/>
      <c r="M73" s="723"/>
      <c r="N73" s="723"/>
      <c r="O73" s="723"/>
      <c r="P73" s="723"/>
      <c r="Q73" s="723"/>
      <c r="R73" s="723"/>
      <c r="S73" s="723"/>
      <c r="T73" s="723"/>
      <c r="U73" s="723"/>
      <c r="V73" s="723"/>
      <c r="W73" s="723"/>
      <c r="X73" s="723"/>
      <c r="Y73" s="723"/>
    </row>
    <row r="74" spans="2:25" x14ac:dyDescent="0.3">
      <c r="B74" s="726" t="s">
        <v>1085</v>
      </c>
      <c r="C74" s="723"/>
      <c r="D74" s="723"/>
      <c r="E74" s="723"/>
      <c r="F74" s="723"/>
      <c r="G74" s="723"/>
      <c r="H74" s="723"/>
      <c r="I74" s="723"/>
      <c r="J74" s="723"/>
      <c r="K74" s="723"/>
      <c r="L74" s="723"/>
      <c r="M74" s="723"/>
      <c r="N74" s="723"/>
      <c r="O74" s="723"/>
      <c r="P74" s="723"/>
      <c r="Q74" s="723"/>
      <c r="R74" s="723"/>
      <c r="S74" s="723"/>
      <c r="T74" s="723"/>
      <c r="U74" s="723"/>
      <c r="V74" s="723"/>
      <c r="W74" s="723"/>
      <c r="X74" s="723"/>
      <c r="Y74" s="723"/>
    </row>
    <row r="75" spans="2:25" ht="15" x14ac:dyDescent="0.35">
      <c r="B75" s="726" t="s">
        <v>1237</v>
      </c>
      <c r="C75" s="723"/>
      <c r="D75" s="723"/>
      <c r="E75" s="723"/>
      <c r="F75" s="723"/>
      <c r="G75" s="723"/>
      <c r="H75" s="723"/>
      <c r="I75" s="723"/>
      <c r="J75" s="723"/>
      <c r="K75" s="723"/>
      <c r="L75" s="723"/>
      <c r="M75" s="723"/>
      <c r="N75" s="723"/>
      <c r="O75" s="723"/>
      <c r="P75" s="723"/>
      <c r="Q75" s="723"/>
      <c r="R75" s="723"/>
      <c r="S75" s="723"/>
      <c r="T75" s="723"/>
      <c r="U75" s="723"/>
      <c r="V75" s="723"/>
      <c r="W75" s="723"/>
      <c r="X75" s="723"/>
      <c r="Y75" s="723"/>
    </row>
    <row r="76" spans="2:25" x14ac:dyDescent="0.3">
      <c r="B76" s="726" t="s">
        <v>1238</v>
      </c>
      <c r="C76" s="723"/>
      <c r="D76" s="723"/>
      <c r="E76" s="723"/>
      <c r="F76" s="723"/>
      <c r="G76" s="723"/>
      <c r="H76" s="723"/>
      <c r="I76" s="723"/>
      <c r="J76" s="723"/>
      <c r="K76" s="723"/>
      <c r="L76" s="723"/>
      <c r="M76" s="723"/>
      <c r="N76" s="723"/>
      <c r="O76" s="723"/>
      <c r="P76" s="723"/>
      <c r="Q76" s="723"/>
      <c r="R76" s="723"/>
      <c r="S76" s="723"/>
      <c r="T76" s="723"/>
      <c r="U76" s="723"/>
      <c r="V76" s="723"/>
      <c r="W76" s="723"/>
      <c r="X76" s="723"/>
      <c r="Y76" s="723"/>
    </row>
    <row r="77" spans="2:25" x14ac:dyDescent="0.3">
      <c r="B77" s="726" t="s">
        <v>1239</v>
      </c>
      <c r="C77" s="723"/>
      <c r="D77" s="723"/>
      <c r="E77" s="723"/>
      <c r="F77" s="723"/>
      <c r="G77" s="723"/>
      <c r="H77" s="723"/>
      <c r="I77" s="723"/>
      <c r="J77" s="723"/>
      <c r="K77" s="723"/>
      <c r="L77" s="723"/>
      <c r="M77" s="723"/>
      <c r="N77" s="723"/>
      <c r="O77" s="723"/>
      <c r="P77" s="723"/>
      <c r="Q77" s="723"/>
      <c r="R77" s="723"/>
      <c r="S77" s="723"/>
      <c r="T77" s="723"/>
      <c r="U77" s="723"/>
      <c r="V77" s="723"/>
      <c r="W77" s="723"/>
      <c r="X77" s="723"/>
      <c r="Y77" s="723"/>
    </row>
  </sheetData>
  <mergeCells count="6">
    <mergeCell ref="C4:G4"/>
    <mergeCell ref="H4:L4"/>
    <mergeCell ref="M4:Q4"/>
    <mergeCell ref="B61:K61"/>
    <mergeCell ref="B56:K56"/>
    <mergeCell ref="B57:K60"/>
  </mergeCells>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88"/>
  <sheetViews>
    <sheetView workbookViewId="0">
      <selection activeCell="Y51" sqref="Y51"/>
    </sheetView>
  </sheetViews>
  <sheetFormatPr defaultColWidth="9.109375" defaultRowHeight="14.4" x14ac:dyDescent="0.3"/>
  <cols>
    <col min="1" max="1" width="9.109375" style="650"/>
    <col min="2" max="2" width="15.6640625" style="650" customWidth="1"/>
    <col min="3" max="3" width="12.33203125" style="650" customWidth="1"/>
    <col min="4" max="5" width="14" style="650" customWidth="1"/>
    <col min="6" max="7" width="22.6640625" style="650" customWidth="1"/>
    <col min="8" max="8" width="27.109375" style="650" customWidth="1"/>
    <col min="9" max="9" width="15.6640625" style="650" customWidth="1"/>
    <col min="10" max="10" width="15.5546875" style="650" customWidth="1"/>
    <col min="11" max="11" width="10.109375" style="650" bestFit="1" customWidth="1"/>
    <col min="12" max="17" width="9.109375" style="650"/>
    <col min="18" max="18" width="17.88671875" style="650" customWidth="1"/>
    <col min="19" max="19" width="15.33203125" style="650" customWidth="1"/>
    <col min="20" max="20" width="15.6640625" style="650" customWidth="1"/>
    <col min="21" max="21" width="13.88671875" style="650" customWidth="1"/>
    <col min="22" max="22" width="4.6640625" style="650" customWidth="1"/>
    <col min="23" max="23" width="11.5546875" style="650" customWidth="1"/>
    <col min="24" max="24" width="9.109375" style="650"/>
    <col min="25" max="25" width="17.88671875" style="650" customWidth="1"/>
    <col min="26" max="26" width="15.33203125" style="650" customWidth="1"/>
    <col min="27" max="27" width="15.6640625" style="650" customWidth="1"/>
    <col min="28" max="28" width="13.88671875" style="650" customWidth="1"/>
    <col min="29" max="29" width="13.44140625" style="650" customWidth="1"/>
    <col min="30" max="30" width="11.5546875" style="650" customWidth="1"/>
    <col min="31" max="16384" width="9.109375" style="650"/>
  </cols>
  <sheetData>
    <row r="1" spans="2:30" x14ac:dyDescent="0.3">
      <c r="B1" s="741" t="s">
        <v>1125</v>
      </c>
      <c r="C1" s="724"/>
      <c r="D1" s="724"/>
      <c r="E1" s="724"/>
      <c r="F1" s="724"/>
      <c r="G1" s="724"/>
      <c r="H1" s="724"/>
      <c r="I1" s="724"/>
      <c r="J1" s="724"/>
      <c r="K1" s="724"/>
      <c r="L1" s="724"/>
    </row>
    <row r="2" spans="2:30" x14ac:dyDescent="0.3">
      <c r="B2" s="1187" t="s">
        <v>1089</v>
      </c>
      <c r="C2" s="1187"/>
      <c r="D2" s="1187"/>
      <c r="E2" s="782"/>
      <c r="F2" s="724"/>
      <c r="G2" s="724"/>
      <c r="H2" s="724"/>
      <c r="I2" s="724"/>
      <c r="J2" s="724"/>
      <c r="K2" s="724"/>
      <c r="L2" s="724"/>
      <c r="R2" s="983" t="s">
        <v>1492</v>
      </c>
      <c r="Y2" s="983" t="s">
        <v>1490</v>
      </c>
    </row>
    <row r="3" spans="2:30" x14ac:dyDescent="0.3">
      <c r="B3" s="724"/>
      <c r="C3" s="724"/>
      <c r="D3" s="724"/>
      <c r="E3" s="724"/>
      <c r="F3" s="724"/>
      <c r="G3" s="724"/>
      <c r="H3" s="724"/>
      <c r="I3" s="724"/>
      <c r="J3" s="724"/>
      <c r="K3" s="724"/>
      <c r="L3" s="724"/>
      <c r="R3" s="945" t="s">
        <v>1421</v>
      </c>
      <c r="Y3" s="945" t="s">
        <v>1422</v>
      </c>
    </row>
    <row r="4" spans="2:30" x14ac:dyDescent="0.3">
      <c r="B4" s="724"/>
      <c r="C4" s="1186" t="s">
        <v>1067</v>
      </c>
      <c r="D4" s="1186"/>
      <c r="E4" s="1186"/>
      <c r="F4" s="1186"/>
      <c r="G4" s="1186"/>
      <c r="H4" s="1186"/>
      <c r="I4" s="1186"/>
      <c r="J4" s="1186"/>
      <c r="K4" s="724"/>
      <c r="L4" s="724"/>
    </row>
    <row r="5" spans="2:30" ht="45" customHeight="1" x14ac:dyDescent="0.3">
      <c r="B5" s="783" t="s">
        <v>322</v>
      </c>
      <c r="C5" s="745" t="s">
        <v>1068</v>
      </c>
      <c r="D5" s="745" t="s">
        <v>1086</v>
      </c>
      <c r="E5" s="745" t="s">
        <v>1192</v>
      </c>
      <c r="F5" s="745" t="s">
        <v>1240</v>
      </c>
      <c r="G5" s="745" t="s">
        <v>1243</v>
      </c>
      <c r="H5" s="745" t="s">
        <v>1259</v>
      </c>
      <c r="I5" s="745" t="s">
        <v>1260</v>
      </c>
      <c r="J5" s="745" t="s">
        <v>1261</v>
      </c>
      <c r="K5" s="724" t="s">
        <v>1374</v>
      </c>
      <c r="L5" s="724"/>
      <c r="R5" s="943" t="s">
        <v>322</v>
      </c>
      <c r="S5" s="921" t="s">
        <v>1068</v>
      </c>
      <c r="T5" s="921" t="s">
        <v>1417</v>
      </c>
      <c r="U5" s="921" t="s">
        <v>1418</v>
      </c>
      <c r="V5" s="921" t="s">
        <v>1419</v>
      </c>
      <c r="W5" s="921" t="s">
        <v>1420</v>
      </c>
      <c r="Y5" s="943" t="s">
        <v>322</v>
      </c>
      <c r="Z5" s="921" t="s">
        <v>1068</v>
      </c>
      <c r="AA5" s="921" t="s">
        <v>1417</v>
      </c>
      <c r="AB5" s="921" t="s">
        <v>1424</v>
      </c>
      <c r="AC5" s="921" t="s">
        <v>1425</v>
      </c>
      <c r="AD5" s="921" t="s">
        <v>1423</v>
      </c>
    </row>
    <row r="6" spans="2:30" x14ac:dyDescent="0.3">
      <c r="B6" s="784" t="s">
        <v>403</v>
      </c>
      <c r="C6" s="758">
        <f>'Biomass Data Assumptions'!X7</f>
        <v>900.57781536869993</v>
      </c>
      <c r="D6" s="785">
        <f>C6*506*7.2</f>
        <v>3280985.0969512477</v>
      </c>
      <c r="E6" s="785">
        <f>D6*(1/1.136)</f>
        <v>2888191.1064711688</v>
      </c>
      <c r="F6" s="758">
        <f t="shared" ref="F6:F26" si="0">C6*0.9*1000000*0.5*(1012/1050)*0.12059/2000</f>
        <v>23550.832907223274</v>
      </c>
      <c r="G6" s="758">
        <f xml:space="preserve"> C6*(0.026345733333*1000000)*2.20462/2000</f>
        <v>26153.82921091055</v>
      </c>
      <c r="H6" s="758">
        <f>D6*(0.00892*1.10231)</f>
        <v>32260.631125405343</v>
      </c>
      <c r="I6" s="758">
        <f t="shared" ref="I6:I26" si="1">H6-F6</f>
        <v>8709.7982181820698</v>
      </c>
      <c r="J6" s="758">
        <f t="shared" ref="J6:J26" si="2">H6-G6</f>
        <v>6106.8019144947939</v>
      </c>
      <c r="K6" s="915">
        <f>D6*(0.01018*1.10231)</f>
        <v>36817.62610500295</v>
      </c>
      <c r="L6" s="724"/>
      <c r="R6" s="784" t="s">
        <v>403</v>
      </c>
      <c r="S6" s="944">
        <f>C6</f>
        <v>900.57781536869993</v>
      </c>
      <c r="T6" s="946">
        <f>S6*506</f>
        <v>455692.37457656214</v>
      </c>
      <c r="U6" s="946">
        <f>T6*0.01939</f>
        <v>8835.8751430395405</v>
      </c>
      <c r="V6" s="944">
        <f>T6*0.078169</f>
        <v>35621.01722827529</v>
      </c>
      <c r="W6" s="944">
        <f>T6*0.097463</f>
        <v>44413.145903355471</v>
      </c>
      <c r="Y6" s="784" t="s">
        <v>403</v>
      </c>
      <c r="Z6" s="944">
        <f>C6</f>
        <v>900.57781536869993</v>
      </c>
      <c r="AA6" s="946">
        <f>Z6*506</f>
        <v>455692.37457656214</v>
      </c>
      <c r="AB6" s="946">
        <f>AA6*0.022479</f>
        <v>10243.50888810654</v>
      </c>
      <c r="AC6" s="944">
        <f>AA6*0.077946</f>
        <v>35519.39782874471</v>
      </c>
      <c r="AD6" s="944">
        <f>AA6*0.097894</f>
        <v>44609.549316797973</v>
      </c>
    </row>
    <row r="7" spans="2:30" x14ac:dyDescent="0.3">
      <c r="B7" s="784" t="s">
        <v>325</v>
      </c>
      <c r="C7" s="758">
        <f>'Biomass Data Assumptions'!X8</f>
        <v>1194.1632</v>
      </c>
      <c r="D7" s="785">
        <f t="shared" ref="D7:D26" si="3">C7*506*7.2</f>
        <v>4350575.3702400001</v>
      </c>
      <c r="E7" s="785">
        <f t="shared" ref="E7:E26" si="4">D7*(1/1.136)</f>
        <v>3829731.8400000003</v>
      </c>
      <c r="F7" s="758">
        <f t="shared" si="0"/>
        <v>31228.326422454855</v>
      </c>
      <c r="G7" s="758">
        <f t="shared" ref="G7:G26" si="5" xml:space="preserve"> C7*(0.026345733333*1000000)*2.20462/2000</f>
        <v>34679.89089867592</v>
      </c>
      <c r="H7" s="758">
        <f t="shared" ref="H7:H26" si="6">D7*(0.00892*1.10231)</f>
        <v>42777.490008413755</v>
      </c>
      <c r="I7" s="758">
        <f t="shared" si="1"/>
        <v>11549.163585958901</v>
      </c>
      <c r="J7" s="758">
        <f t="shared" si="2"/>
        <v>8097.5991097378355</v>
      </c>
      <c r="K7" s="915">
        <f t="shared" ref="K7:K26" si="7">D7*(0.01018*1.10231)</f>
        <v>48820.050256239003</v>
      </c>
      <c r="L7" s="724"/>
      <c r="R7" s="784" t="s">
        <v>325</v>
      </c>
      <c r="S7" s="944">
        <f t="shared" ref="S7:S26" si="8">C7</f>
        <v>1194.1632</v>
      </c>
      <c r="T7" s="946">
        <f t="shared" ref="T7:T26" si="9">S7*506</f>
        <v>604246.57920000004</v>
      </c>
      <c r="U7" s="946">
        <f t="shared" ref="U7:U26" si="10">T7*0.01939</f>
        <v>11716.341170688002</v>
      </c>
      <c r="V7" s="944">
        <f t="shared" ref="V7:V26" si="11">T7*0.078169</f>
        <v>47233.350849484807</v>
      </c>
      <c r="W7" s="944">
        <f t="shared" ref="W7:W26" si="12">T7*0.097463</f>
        <v>58891.684348569601</v>
      </c>
      <c r="Y7" s="784" t="s">
        <v>325</v>
      </c>
      <c r="Z7" s="944">
        <f t="shared" ref="Z7:Z26" si="13">C7</f>
        <v>1194.1632</v>
      </c>
      <c r="AA7" s="946">
        <f t="shared" ref="AA7:AA26" si="14">Z7*506</f>
        <v>604246.57920000004</v>
      </c>
      <c r="AB7" s="946">
        <f t="shared" ref="AB7:AB26" si="15">AA7*0.022479</f>
        <v>13582.8588538368</v>
      </c>
      <c r="AC7" s="944">
        <f t="shared" ref="AC7:AC26" si="16">AA7*0.077946</f>
        <v>47098.603862323202</v>
      </c>
      <c r="AD7" s="944">
        <f t="shared" ref="AD7:AD26" si="17">AA7*0.097894</f>
        <v>59152.114624204798</v>
      </c>
    </row>
    <row r="8" spans="2:30" x14ac:dyDescent="0.3">
      <c r="B8" s="784" t="s">
        <v>328</v>
      </c>
      <c r="C8" s="758">
        <f>'Biomass Data Assumptions'!X9</f>
        <v>1658.3646291646746</v>
      </c>
      <c r="D8" s="785">
        <f t="shared" si="3"/>
        <v>6041754.016972743</v>
      </c>
      <c r="E8" s="785">
        <f t="shared" si="4"/>
        <v>5318445.4374760063</v>
      </c>
      <c r="F8" s="758">
        <f t="shared" si="0"/>
        <v>43367.566482544229</v>
      </c>
      <c r="G8" s="758">
        <f t="shared" si="5"/>
        <v>48160.841340324398</v>
      </c>
      <c r="H8" s="758">
        <f t="shared" si="6"/>
        <v>59406.181964407086</v>
      </c>
      <c r="I8" s="758">
        <f t="shared" si="1"/>
        <v>16038.615481862857</v>
      </c>
      <c r="J8" s="758">
        <f t="shared" si="2"/>
        <v>11245.340624082688</v>
      </c>
      <c r="K8" s="915">
        <f t="shared" si="7"/>
        <v>67797.63816117309</v>
      </c>
      <c r="L8" s="724"/>
      <c r="R8" s="784" t="s">
        <v>328</v>
      </c>
      <c r="S8" s="944">
        <f t="shared" si="8"/>
        <v>1658.3646291646746</v>
      </c>
      <c r="T8" s="946">
        <f t="shared" si="9"/>
        <v>839132.5023573254</v>
      </c>
      <c r="U8" s="946">
        <f t="shared" si="10"/>
        <v>16270.77922070854</v>
      </c>
      <c r="V8" s="944">
        <f t="shared" si="11"/>
        <v>65594.148576769774</v>
      </c>
      <c r="W8" s="944">
        <f t="shared" si="12"/>
        <v>81784.371077251999</v>
      </c>
      <c r="Y8" s="784" t="s">
        <v>328</v>
      </c>
      <c r="Z8" s="944">
        <f t="shared" si="13"/>
        <v>1658.3646291646746</v>
      </c>
      <c r="AA8" s="946">
        <f t="shared" si="14"/>
        <v>839132.5023573254</v>
      </c>
      <c r="AB8" s="946">
        <f t="shared" si="15"/>
        <v>18862.859520490318</v>
      </c>
      <c r="AC8" s="944">
        <f t="shared" si="16"/>
        <v>65407.02202874409</v>
      </c>
      <c r="AD8" s="944">
        <f t="shared" si="17"/>
        <v>82146.037185768015</v>
      </c>
    </row>
    <row r="9" spans="2:30" x14ac:dyDescent="0.3">
      <c r="B9" s="784" t="s">
        <v>331</v>
      </c>
      <c r="C9" s="758">
        <f>'Biomass Data Assumptions'!X10</f>
        <v>22.866403519479036</v>
      </c>
      <c r="D9" s="785">
        <f t="shared" si="3"/>
        <v>83306.881302166017</v>
      </c>
      <c r="E9" s="785">
        <f t="shared" si="4"/>
        <v>73333.522273033464</v>
      </c>
      <c r="F9" s="758">
        <f t="shared" si="0"/>
        <v>597.97481048977386</v>
      </c>
      <c r="G9" s="758">
        <f t="shared" si="5"/>
        <v>664.06700466119867</v>
      </c>
      <c r="H9" s="758">
        <f t="shared" si="6"/>
        <v>819.1236742874604</v>
      </c>
      <c r="I9" s="758">
        <f t="shared" si="1"/>
        <v>221.14886379768654</v>
      </c>
      <c r="J9" s="758">
        <f t="shared" si="2"/>
        <v>155.05666962626174</v>
      </c>
      <c r="K9" s="915">
        <f t="shared" si="7"/>
        <v>934.82948478098035</v>
      </c>
      <c r="L9" s="724"/>
      <c r="R9" s="784" t="s">
        <v>331</v>
      </c>
      <c r="S9" s="944">
        <f t="shared" si="8"/>
        <v>22.866403519479036</v>
      </c>
      <c r="T9" s="946">
        <f t="shared" si="9"/>
        <v>11570.400180856392</v>
      </c>
      <c r="U9" s="946">
        <f t="shared" si="10"/>
        <v>224.35005950680545</v>
      </c>
      <c r="V9" s="944">
        <f t="shared" si="11"/>
        <v>904.44661173736336</v>
      </c>
      <c r="W9" s="944">
        <f t="shared" si="12"/>
        <v>1127.6859128268065</v>
      </c>
      <c r="Y9" s="784" t="s">
        <v>331</v>
      </c>
      <c r="Z9" s="944">
        <f t="shared" si="13"/>
        <v>22.866403519479036</v>
      </c>
      <c r="AA9" s="946">
        <f t="shared" si="14"/>
        <v>11570.400180856392</v>
      </c>
      <c r="AB9" s="946">
        <f t="shared" si="15"/>
        <v>260.0910256654708</v>
      </c>
      <c r="AC9" s="944">
        <f t="shared" si="16"/>
        <v>901.86641249703234</v>
      </c>
      <c r="AD9" s="944">
        <f t="shared" si="17"/>
        <v>1132.6727553047556</v>
      </c>
    </row>
    <row r="10" spans="2:30" x14ac:dyDescent="0.3">
      <c r="B10" s="784" t="s">
        <v>333</v>
      </c>
      <c r="C10" s="758">
        <f>'Biomass Data Assumptions'!X11</f>
        <v>732.41336239999998</v>
      </c>
      <c r="D10" s="785">
        <f t="shared" si="3"/>
        <v>2668328.36189568</v>
      </c>
      <c r="E10" s="785">
        <f t="shared" si="4"/>
        <v>2348880.6002602819</v>
      </c>
      <c r="F10" s="758">
        <f t="shared" si="0"/>
        <v>19153.197450059524</v>
      </c>
      <c r="G10" s="758">
        <f t="shared" si="5"/>
        <v>21270.137532930497</v>
      </c>
      <c r="H10" s="758">
        <f t="shared" si="6"/>
        <v>26236.619326482945</v>
      </c>
      <c r="I10" s="758">
        <f t="shared" si="1"/>
        <v>7083.4218764234211</v>
      </c>
      <c r="J10" s="758">
        <f t="shared" si="2"/>
        <v>4966.4817935524479</v>
      </c>
      <c r="K10" s="915">
        <f t="shared" si="7"/>
        <v>29942.688872600487</v>
      </c>
      <c r="L10" s="724"/>
      <c r="R10" s="784" t="s">
        <v>333</v>
      </c>
      <c r="S10" s="944">
        <f t="shared" si="8"/>
        <v>732.41336239999998</v>
      </c>
      <c r="T10" s="946">
        <f t="shared" si="9"/>
        <v>370601.16137439996</v>
      </c>
      <c r="U10" s="946">
        <f t="shared" si="10"/>
        <v>7185.956519049616</v>
      </c>
      <c r="V10" s="944">
        <f t="shared" si="11"/>
        <v>28969.52218347547</v>
      </c>
      <c r="W10" s="944">
        <f t="shared" si="12"/>
        <v>36119.900991033144</v>
      </c>
      <c r="Y10" s="784" t="s">
        <v>333</v>
      </c>
      <c r="Z10" s="944">
        <f t="shared" si="13"/>
        <v>732.41336239999998</v>
      </c>
      <c r="AA10" s="946">
        <f t="shared" si="14"/>
        <v>370601.16137439996</v>
      </c>
      <c r="AB10" s="946">
        <f t="shared" si="15"/>
        <v>8330.7435065351365</v>
      </c>
      <c r="AC10" s="944">
        <f t="shared" si="16"/>
        <v>28886.87812448898</v>
      </c>
      <c r="AD10" s="944">
        <f t="shared" si="17"/>
        <v>36279.63009158551</v>
      </c>
    </row>
    <row r="11" spans="2:30" x14ac:dyDescent="0.3">
      <c r="B11" s="784" t="s">
        <v>335</v>
      </c>
      <c r="C11" s="758">
        <f>'Biomass Data Assumptions'!X12</f>
        <v>190.20376209999995</v>
      </c>
      <c r="D11" s="785">
        <f t="shared" si="3"/>
        <v>692950.34608271986</v>
      </c>
      <c r="E11" s="785">
        <f t="shared" si="4"/>
        <v>609991.5018333802</v>
      </c>
      <c r="F11" s="758">
        <f t="shared" si="0"/>
        <v>4973.9810853639992</v>
      </c>
      <c r="G11" s="758">
        <f t="shared" si="5"/>
        <v>5523.7388977869259</v>
      </c>
      <c r="H11" s="758">
        <f t="shared" si="6"/>
        <v>6813.5071762347516</v>
      </c>
      <c r="I11" s="758">
        <f t="shared" si="1"/>
        <v>1839.5260908707523</v>
      </c>
      <c r="J11" s="758">
        <f t="shared" si="2"/>
        <v>1289.7682784478257</v>
      </c>
      <c r="K11" s="915">
        <f t="shared" si="7"/>
        <v>7775.9532571827076</v>
      </c>
      <c r="L11" s="724"/>
      <c r="R11" s="784" t="s">
        <v>335</v>
      </c>
      <c r="S11" s="944">
        <f t="shared" si="8"/>
        <v>190.20376209999995</v>
      </c>
      <c r="T11" s="946">
        <f t="shared" si="9"/>
        <v>96243.103622599971</v>
      </c>
      <c r="U11" s="946">
        <f t="shared" si="10"/>
        <v>1866.1537792422134</v>
      </c>
      <c r="V11" s="944">
        <f t="shared" si="11"/>
        <v>7523.227167075017</v>
      </c>
      <c r="W11" s="944">
        <f t="shared" si="12"/>
        <v>9380.1416083694603</v>
      </c>
      <c r="Y11" s="784" t="s">
        <v>335</v>
      </c>
      <c r="Z11" s="944">
        <f t="shared" si="13"/>
        <v>190.20376209999995</v>
      </c>
      <c r="AA11" s="946">
        <f t="shared" si="14"/>
        <v>96243.103622599971</v>
      </c>
      <c r="AB11" s="946">
        <f t="shared" si="15"/>
        <v>2163.4487263324245</v>
      </c>
      <c r="AC11" s="944">
        <f t="shared" si="16"/>
        <v>7501.7649549671778</v>
      </c>
      <c r="AD11" s="944">
        <f t="shared" si="17"/>
        <v>9421.6223860308019</v>
      </c>
    </row>
    <row r="12" spans="2:30" x14ac:dyDescent="0.3">
      <c r="B12" s="784" t="s">
        <v>336</v>
      </c>
      <c r="C12" s="758">
        <f>'Biomass Data Assumptions'!X13</f>
        <v>0</v>
      </c>
      <c r="D12" s="785">
        <f t="shared" si="3"/>
        <v>0</v>
      </c>
      <c r="E12" s="785">
        <f t="shared" si="4"/>
        <v>0</v>
      </c>
      <c r="F12" s="758">
        <f t="shared" si="0"/>
        <v>0</v>
      </c>
      <c r="G12" s="758">
        <f t="shared" si="5"/>
        <v>0</v>
      </c>
      <c r="H12" s="758">
        <f t="shared" si="6"/>
        <v>0</v>
      </c>
      <c r="I12" s="758">
        <f t="shared" si="1"/>
        <v>0</v>
      </c>
      <c r="J12" s="758">
        <f t="shared" si="2"/>
        <v>0</v>
      </c>
      <c r="K12" s="915">
        <f t="shared" si="7"/>
        <v>0</v>
      </c>
      <c r="L12" s="724"/>
      <c r="R12" s="784" t="s">
        <v>336</v>
      </c>
      <c r="S12" s="944">
        <f t="shared" si="8"/>
        <v>0</v>
      </c>
      <c r="T12" s="946">
        <f t="shared" si="9"/>
        <v>0</v>
      </c>
      <c r="U12" s="946">
        <f t="shared" si="10"/>
        <v>0</v>
      </c>
      <c r="V12" s="944">
        <f t="shared" si="11"/>
        <v>0</v>
      </c>
      <c r="W12" s="944">
        <f t="shared" si="12"/>
        <v>0</v>
      </c>
      <c r="Y12" s="784" t="s">
        <v>336</v>
      </c>
      <c r="Z12" s="944">
        <f t="shared" si="13"/>
        <v>0</v>
      </c>
      <c r="AA12" s="946">
        <f t="shared" si="14"/>
        <v>0</v>
      </c>
      <c r="AB12" s="946">
        <f t="shared" si="15"/>
        <v>0</v>
      </c>
      <c r="AC12" s="944">
        <f t="shared" si="16"/>
        <v>0</v>
      </c>
      <c r="AD12" s="944">
        <f t="shared" si="17"/>
        <v>0</v>
      </c>
    </row>
    <row r="13" spans="2:30" x14ac:dyDescent="0.3">
      <c r="B13" s="784" t="s">
        <v>337</v>
      </c>
      <c r="C13" s="758">
        <f>'Biomass Data Assumptions'!X14</f>
        <v>2709.58754</v>
      </c>
      <c r="D13" s="785">
        <f t="shared" si="3"/>
        <v>9871569.3257279992</v>
      </c>
      <c r="E13" s="785">
        <f t="shared" si="4"/>
        <v>8689761.7303943653</v>
      </c>
      <c r="F13" s="758">
        <f t="shared" si="0"/>
        <v>70857.88958271069</v>
      </c>
      <c r="G13" s="758">
        <f t="shared" si="5"/>
        <v>78689.579671867032</v>
      </c>
      <c r="H13" s="758">
        <f t="shared" si="6"/>
        <v>97063.243884313619</v>
      </c>
      <c r="I13" s="758">
        <f t="shared" si="1"/>
        <v>26205.354301602929</v>
      </c>
      <c r="J13" s="758">
        <f t="shared" si="2"/>
        <v>18373.664212446587</v>
      </c>
      <c r="K13" s="915">
        <f t="shared" si="7"/>
        <v>110773.97115945208</v>
      </c>
      <c r="L13" s="724"/>
      <c r="R13" s="784" t="s">
        <v>337</v>
      </c>
      <c r="S13" s="944">
        <f t="shared" si="8"/>
        <v>2709.58754</v>
      </c>
      <c r="T13" s="946">
        <f t="shared" si="9"/>
        <v>1371051.2952399999</v>
      </c>
      <c r="U13" s="946">
        <f t="shared" si="10"/>
        <v>26584.684614703598</v>
      </c>
      <c r="V13" s="944">
        <f t="shared" si="11"/>
        <v>107173.70869761556</v>
      </c>
      <c r="W13" s="944">
        <f t="shared" si="12"/>
        <v>133626.77238797609</v>
      </c>
      <c r="Y13" s="784" t="s">
        <v>337</v>
      </c>
      <c r="Z13" s="944">
        <f t="shared" si="13"/>
        <v>2709.58754</v>
      </c>
      <c r="AA13" s="946">
        <f t="shared" si="14"/>
        <v>1371051.2952399999</v>
      </c>
      <c r="AB13" s="946">
        <f t="shared" si="15"/>
        <v>30819.862065699956</v>
      </c>
      <c r="AC13" s="944">
        <f t="shared" si="16"/>
        <v>106867.96425877704</v>
      </c>
      <c r="AD13" s="944">
        <f t="shared" si="17"/>
        <v>134217.69549622454</v>
      </c>
    </row>
    <row r="14" spans="2:30" x14ac:dyDescent="0.3">
      <c r="B14" s="784" t="s">
        <v>338</v>
      </c>
      <c r="C14" s="758">
        <f>'Biomass Data Assumptions'!X15</f>
        <v>0</v>
      </c>
      <c r="D14" s="785">
        <f t="shared" si="3"/>
        <v>0</v>
      </c>
      <c r="E14" s="785">
        <f t="shared" si="4"/>
        <v>0</v>
      </c>
      <c r="F14" s="758">
        <f t="shared" si="0"/>
        <v>0</v>
      </c>
      <c r="G14" s="758">
        <f t="shared" si="5"/>
        <v>0</v>
      </c>
      <c r="H14" s="758">
        <f t="shared" si="6"/>
        <v>0</v>
      </c>
      <c r="I14" s="758">
        <f t="shared" si="1"/>
        <v>0</v>
      </c>
      <c r="J14" s="758">
        <f t="shared" si="2"/>
        <v>0</v>
      </c>
      <c r="K14" s="915">
        <f t="shared" si="7"/>
        <v>0</v>
      </c>
      <c r="L14" s="724"/>
      <c r="R14" s="784" t="s">
        <v>338</v>
      </c>
      <c r="S14" s="944">
        <f t="shared" si="8"/>
        <v>0</v>
      </c>
      <c r="T14" s="946">
        <f t="shared" si="9"/>
        <v>0</v>
      </c>
      <c r="U14" s="946">
        <f t="shared" si="10"/>
        <v>0</v>
      </c>
      <c r="V14" s="944">
        <f t="shared" si="11"/>
        <v>0</v>
      </c>
      <c r="W14" s="944">
        <f t="shared" si="12"/>
        <v>0</v>
      </c>
      <c r="Y14" s="784" t="s">
        <v>338</v>
      </c>
      <c r="Z14" s="944">
        <f t="shared" si="13"/>
        <v>0</v>
      </c>
      <c r="AA14" s="946">
        <f t="shared" si="14"/>
        <v>0</v>
      </c>
      <c r="AB14" s="946">
        <f t="shared" si="15"/>
        <v>0</v>
      </c>
      <c r="AC14" s="944">
        <f t="shared" si="16"/>
        <v>0</v>
      </c>
      <c r="AD14" s="944">
        <f t="shared" si="17"/>
        <v>0</v>
      </c>
    </row>
    <row r="15" spans="2:30" x14ac:dyDescent="0.3">
      <c r="B15" s="784" t="s">
        <v>339</v>
      </c>
      <c r="C15" s="758">
        <f>'Biomass Data Assumptions'!X16</f>
        <v>0</v>
      </c>
      <c r="D15" s="785">
        <f t="shared" si="3"/>
        <v>0</v>
      </c>
      <c r="E15" s="785">
        <f t="shared" si="4"/>
        <v>0</v>
      </c>
      <c r="F15" s="758">
        <f t="shared" si="0"/>
        <v>0</v>
      </c>
      <c r="G15" s="758">
        <f t="shared" si="5"/>
        <v>0</v>
      </c>
      <c r="H15" s="758">
        <f t="shared" si="6"/>
        <v>0</v>
      </c>
      <c r="I15" s="758">
        <f t="shared" si="1"/>
        <v>0</v>
      </c>
      <c r="J15" s="758">
        <f t="shared" si="2"/>
        <v>0</v>
      </c>
      <c r="K15" s="915">
        <f t="shared" si="7"/>
        <v>0</v>
      </c>
      <c r="L15" s="724"/>
      <c r="R15" s="784" t="s">
        <v>339</v>
      </c>
      <c r="S15" s="944">
        <f t="shared" si="8"/>
        <v>0</v>
      </c>
      <c r="T15" s="946">
        <f t="shared" si="9"/>
        <v>0</v>
      </c>
      <c r="U15" s="946">
        <f t="shared" si="10"/>
        <v>0</v>
      </c>
      <c r="V15" s="944">
        <f t="shared" si="11"/>
        <v>0</v>
      </c>
      <c r="W15" s="944">
        <f t="shared" si="12"/>
        <v>0</v>
      </c>
      <c r="Y15" s="784" t="s">
        <v>339</v>
      </c>
      <c r="Z15" s="944">
        <f t="shared" si="13"/>
        <v>0</v>
      </c>
      <c r="AA15" s="946">
        <f t="shared" si="14"/>
        <v>0</v>
      </c>
      <c r="AB15" s="946">
        <f t="shared" si="15"/>
        <v>0</v>
      </c>
      <c r="AC15" s="944">
        <f t="shared" si="16"/>
        <v>0</v>
      </c>
      <c r="AD15" s="944">
        <f t="shared" si="17"/>
        <v>0</v>
      </c>
    </row>
    <row r="16" spans="2:30" x14ac:dyDescent="0.3">
      <c r="B16" s="784" t="s">
        <v>340</v>
      </c>
      <c r="C16" s="758">
        <f>'Biomass Data Assumptions'!X17</f>
        <v>0</v>
      </c>
      <c r="D16" s="785">
        <f t="shared" si="3"/>
        <v>0</v>
      </c>
      <c r="E16" s="785">
        <f t="shared" si="4"/>
        <v>0</v>
      </c>
      <c r="F16" s="758">
        <f t="shared" si="0"/>
        <v>0</v>
      </c>
      <c r="G16" s="758">
        <f t="shared" si="5"/>
        <v>0</v>
      </c>
      <c r="H16" s="758">
        <f t="shared" si="6"/>
        <v>0</v>
      </c>
      <c r="I16" s="758">
        <f t="shared" si="1"/>
        <v>0</v>
      </c>
      <c r="J16" s="758">
        <f t="shared" si="2"/>
        <v>0</v>
      </c>
      <c r="K16" s="915">
        <f t="shared" si="7"/>
        <v>0</v>
      </c>
      <c r="L16" s="724"/>
      <c r="R16" s="784" t="s">
        <v>340</v>
      </c>
      <c r="S16" s="944">
        <f t="shared" si="8"/>
        <v>0</v>
      </c>
      <c r="T16" s="946">
        <f t="shared" si="9"/>
        <v>0</v>
      </c>
      <c r="U16" s="946">
        <f t="shared" si="10"/>
        <v>0</v>
      </c>
      <c r="V16" s="944">
        <f t="shared" si="11"/>
        <v>0</v>
      </c>
      <c r="W16" s="944">
        <f t="shared" si="12"/>
        <v>0</v>
      </c>
      <c r="Y16" s="784" t="s">
        <v>340</v>
      </c>
      <c r="Z16" s="944">
        <f t="shared" si="13"/>
        <v>0</v>
      </c>
      <c r="AA16" s="946">
        <f t="shared" si="14"/>
        <v>0</v>
      </c>
      <c r="AB16" s="946">
        <f t="shared" si="15"/>
        <v>0</v>
      </c>
      <c r="AC16" s="944">
        <f t="shared" si="16"/>
        <v>0</v>
      </c>
      <c r="AD16" s="944">
        <f t="shared" si="17"/>
        <v>0</v>
      </c>
    </row>
    <row r="17" spans="2:30" x14ac:dyDescent="0.3">
      <c r="B17" s="784" t="s">
        <v>341</v>
      </c>
      <c r="C17" s="758">
        <f>'Biomass Data Assumptions'!X18</f>
        <v>785.86560530970928</v>
      </c>
      <c r="D17" s="785">
        <f t="shared" si="3"/>
        <v>2863065.573264333</v>
      </c>
      <c r="E17" s="785">
        <f t="shared" si="4"/>
        <v>2520304.2018171945</v>
      </c>
      <c r="F17" s="758">
        <f t="shared" si="0"/>
        <v>20551.016516663447</v>
      </c>
      <c r="G17" s="758">
        <f t="shared" si="5"/>
        <v>22822.452955477631</v>
      </c>
      <c r="H17" s="758">
        <f t="shared" si="6"/>
        <v>28151.393443619862</v>
      </c>
      <c r="I17" s="758">
        <f t="shared" si="1"/>
        <v>7600.3769269564145</v>
      </c>
      <c r="J17" s="758">
        <f t="shared" si="2"/>
        <v>5328.9404881422306</v>
      </c>
      <c r="K17" s="915">
        <f t="shared" si="7"/>
        <v>32127.935566821765</v>
      </c>
      <c r="L17" s="724"/>
      <c r="R17" s="784" t="s">
        <v>341</v>
      </c>
      <c r="S17" s="944">
        <f t="shared" si="8"/>
        <v>785.86560530970928</v>
      </c>
      <c r="T17" s="946">
        <f t="shared" si="9"/>
        <v>397647.99628671288</v>
      </c>
      <c r="U17" s="946">
        <f t="shared" si="10"/>
        <v>7710.3946479993629</v>
      </c>
      <c r="V17" s="944">
        <f t="shared" si="11"/>
        <v>31083.746221736059</v>
      </c>
      <c r="W17" s="944">
        <f t="shared" si="12"/>
        <v>38755.966662091894</v>
      </c>
      <c r="Y17" s="784" t="s">
        <v>341</v>
      </c>
      <c r="Z17" s="944">
        <f t="shared" si="13"/>
        <v>785.86560530970928</v>
      </c>
      <c r="AA17" s="946">
        <f t="shared" si="14"/>
        <v>397647.99628671288</v>
      </c>
      <c r="AB17" s="946">
        <f t="shared" si="15"/>
        <v>8938.7293085290185</v>
      </c>
      <c r="AC17" s="944">
        <f t="shared" si="16"/>
        <v>30995.070718564122</v>
      </c>
      <c r="AD17" s="944">
        <f t="shared" si="17"/>
        <v>38927.352948491469</v>
      </c>
    </row>
    <row r="18" spans="2:30" x14ac:dyDescent="0.3">
      <c r="B18" s="784" t="s">
        <v>342</v>
      </c>
      <c r="C18" s="758">
        <f>'Biomass Data Assumptions'!X19</f>
        <v>222.25059699999997</v>
      </c>
      <c r="D18" s="785">
        <f t="shared" si="3"/>
        <v>809703.37499039993</v>
      </c>
      <c r="E18" s="785">
        <f t="shared" si="4"/>
        <v>712767.05544929579</v>
      </c>
      <c r="F18" s="758">
        <f t="shared" si="0"/>
        <v>5812.0315470293053</v>
      </c>
      <c r="G18" s="758">
        <f t="shared" si="5"/>
        <v>6454.4163277896932</v>
      </c>
      <c r="H18" s="758">
        <f t="shared" si="6"/>
        <v>7961.4936153881563</v>
      </c>
      <c r="I18" s="758">
        <f t="shared" si="1"/>
        <v>2149.462068358851</v>
      </c>
      <c r="J18" s="758">
        <f t="shared" si="2"/>
        <v>1507.077287598463</v>
      </c>
      <c r="K18" s="915">
        <f t="shared" si="7"/>
        <v>9086.0992157680957</v>
      </c>
      <c r="L18" s="724"/>
      <c r="R18" s="784" t="s">
        <v>342</v>
      </c>
      <c r="S18" s="944">
        <f t="shared" si="8"/>
        <v>222.25059699999997</v>
      </c>
      <c r="T18" s="946">
        <f t="shared" si="9"/>
        <v>112458.80208199998</v>
      </c>
      <c r="U18" s="946">
        <f t="shared" si="10"/>
        <v>2180.5761723699798</v>
      </c>
      <c r="V18" s="944">
        <f t="shared" si="11"/>
        <v>8790.7920999478574</v>
      </c>
      <c r="W18" s="944">
        <f t="shared" si="12"/>
        <v>10960.572227317964</v>
      </c>
      <c r="Y18" s="784" t="s">
        <v>342</v>
      </c>
      <c r="Z18" s="944">
        <f t="shared" si="13"/>
        <v>222.25059699999997</v>
      </c>
      <c r="AA18" s="946">
        <f t="shared" si="14"/>
        <v>112458.80208199998</v>
      </c>
      <c r="AB18" s="946">
        <f t="shared" si="15"/>
        <v>2527.9614120012775</v>
      </c>
      <c r="AC18" s="944">
        <f t="shared" si="16"/>
        <v>8765.7137870835704</v>
      </c>
      <c r="AD18" s="944">
        <f t="shared" si="17"/>
        <v>11009.041971015306</v>
      </c>
    </row>
    <row r="19" spans="2:30" x14ac:dyDescent="0.3">
      <c r="B19" s="784" t="s">
        <v>343</v>
      </c>
      <c r="C19" s="758">
        <f>'Biomass Data Assumptions'!X20</f>
        <v>446.87619649999999</v>
      </c>
      <c r="D19" s="785">
        <f t="shared" si="3"/>
        <v>1628059.3590887999</v>
      </c>
      <c r="E19" s="785">
        <f t="shared" si="4"/>
        <v>1433150.8442683099</v>
      </c>
      <c r="F19" s="758">
        <f t="shared" si="0"/>
        <v>11686.171316221335</v>
      </c>
      <c r="G19" s="758">
        <f t="shared" si="5"/>
        <v>12977.80549579426</v>
      </c>
      <c r="H19" s="758">
        <f t="shared" si="6"/>
        <v>16008.064920085202</v>
      </c>
      <c r="I19" s="758">
        <f t="shared" si="1"/>
        <v>4321.8936038638676</v>
      </c>
      <c r="J19" s="758">
        <f t="shared" si="2"/>
        <v>3030.2594242909418</v>
      </c>
      <c r="K19" s="915">
        <f t="shared" si="7"/>
        <v>18269.29382135284</v>
      </c>
      <c r="L19" s="724"/>
      <c r="R19" s="784" t="s">
        <v>343</v>
      </c>
      <c r="S19" s="944">
        <f t="shared" si="8"/>
        <v>446.87619649999999</v>
      </c>
      <c r="T19" s="946">
        <f t="shared" si="9"/>
        <v>226119.35542899999</v>
      </c>
      <c r="U19" s="946">
        <f t="shared" si="10"/>
        <v>4384.45430176831</v>
      </c>
      <c r="V19" s="944">
        <f t="shared" si="11"/>
        <v>17675.523894529502</v>
      </c>
      <c r="W19" s="944">
        <f t="shared" si="12"/>
        <v>22038.270738176623</v>
      </c>
      <c r="Y19" s="784" t="s">
        <v>343</v>
      </c>
      <c r="Z19" s="944">
        <f t="shared" si="13"/>
        <v>446.87619649999999</v>
      </c>
      <c r="AA19" s="946">
        <f t="shared" si="14"/>
        <v>226119.35542899999</v>
      </c>
      <c r="AB19" s="946">
        <f t="shared" si="15"/>
        <v>5082.9369906884904</v>
      </c>
      <c r="AC19" s="944">
        <f t="shared" si="16"/>
        <v>17625.099278268834</v>
      </c>
      <c r="AD19" s="944">
        <f t="shared" si="17"/>
        <v>22135.728180366525</v>
      </c>
    </row>
    <row r="20" spans="2:30" x14ac:dyDescent="0.3">
      <c r="B20" s="784" t="s">
        <v>344</v>
      </c>
      <c r="C20" s="758">
        <f>'Biomass Data Assumptions'!X21</f>
        <v>910.86479999999983</v>
      </c>
      <c r="D20" s="785">
        <f t="shared" si="3"/>
        <v>3318462.6393599994</v>
      </c>
      <c r="E20" s="785">
        <f t="shared" si="4"/>
        <v>2921181.9008450699</v>
      </c>
      <c r="F20" s="758">
        <f t="shared" si="0"/>
        <v>23819.845814310851</v>
      </c>
      <c r="G20" s="758">
        <f t="shared" si="5"/>
        <v>26452.57523213264</v>
      </c>
      <c r="H20" s="758">
        <f t="shared" si="6"/>
        <v>32629.133003776857</v>
      </c>
      <c r="I20" s="758">
        <f t="shared" si="1"/>
        <v>8809.2871894660057</v>
      </c>
      <c r="J20" s="758">
        <f t="shared" si="2"/>
        <v>6176.5577716442167</v>
      </c>
      <c r="K20" s="915">
        <f t="shared" si="7"/>
        <v>37238.18093928793</v>
      </c>
      <c r="L20" s="724"/>
      <c r="R20" s="784" t="s">
        <v>344</v>
      </c>
      <c r="S20" s="944">
        <f t="shared" si="8"/>
        <v>910.86479999999983</v>
      </c>
      <c r="T20" s="946">
        <f t="shared" si="9"/>
        <v>460897.58879999991</v>
      </c>
      <c r="U20" s="946">
        <f t="shared" si="10"/>
        <v>8936.8042468319982</v>
      </c>
      <c r="V20" s="944">
        <f t="shared" si="11"/>
        <v>36027.903618907192</v>
      </c>
      <c r="W20" s="944">
        <f t="shared" si="12"/>
        <v>44920.461697214385</v>
      </c>
      <c r="Y20" s="784" t="s">
        <v>344</v>
      </c>
      <c r="Z20" s="944">
        <f t="shared" si="13"/>
        <v>910.86479999999983</v>
      </c>
      <c r="AA20" s="946">
        <f t="shared" si="14"/>
        <v>460897.58879999991</v>
      </c>
      <c r="AB20" s="946">
        <f t="shared" si="15"/>
        <v>10360.516898635198</v>
      </c>
      <c r="AC20" s="944">
        <f t="shared" si="16"/>
        <v>35925.123456604793</v>
      </c>
      <c r="AD20" s="944">
        <f t="shared" si="17"/>
        <v>45119.108557987187</v>
      </c>
    </row>
    <row r="21" spans="2:30" x14ac:dyDescent="0.3">
      <c r="B21" s="784" t="s">
        <v>345</v>
      </c>
      <c r="C21" s="758">
        <f>'Biomass Data Assumptions'!X22</f>
        <v>0</v>
      </c>
      <c r="D21" s="785">
        <f t="shared" si="3"/>
        <v>0</v>
      </c>
      <c r="E21" s="785">
        <f t="shared" si="4"/>
        <v>0</v>
      </c>
      <c r="F21" s="758">
        <f t="shared" si="0"/>
        <v>0</v>
      </c>
      <c r="G21" s="758">
        <f t="shared" si="5"/>
        <v>0</v>
      </c>
      <c r="H21" s="758">
        <f t="shared" si="6"/>
        <v>0</v>
      </c>
      <c r="I21" s="758">
        <f t="shared" si="1"/>
        <v>0</v>
      </c>
      <c r="J21" s="758">
        <f t="shared" si="2"/>
        <v>0</v>
      </c>
      <c r="K21" s="915">
        <f t="shared" si="7"/>
        <v>0</v>
      </c>
      <c r="L21" s="724"/>
      <c r="R21" s="784" t="s">
        <v>345</v>
      </c>
      <c r="S21" s="944">
        <f t="shared" si="8"/>
        <v>0</v>
      </c>
      <c r="T21" s="946">
        <f t="shared" si="9"/>
        <v>0</v>
      </c>
      <c r="U21" s="946">
        <f t="shared" si="10"/>
        <v>0</v>
      </c>
      <c r="V21" s="944">
        <f t="shared" si="11"/>
        <v>0</v>
      </c>
      <c r="W21" s="944">
        <f t="shared" si="12"/>
        <v>0</v>
      </c>
      <c r="Y21" s="784" t="s">
        <v>345</v>
      </c>
      <c r="Z21" s="944">
        <f t="shared" si="13"/>
        <v>0</v>
      </c>
      <c r="AA21" s="946">
        <f t="shared" si="14"/>
        <v>0</v>
      </c>
      <c r="AB21" s="946">
        <f t="shared" si="15"/>
        <v>0</v>
      </c>
      <c r="AC21" s="944">
        <f t="shared" si="16"/>
        <v>0</v>
      </c>
      <c r="AD21" s="944">
        <f t="shared" si="17"/>
        <v>0</v>
      </c>
    </row>
    <row r="22" spans="2:30" x14ac:dyDescent="0.3">
      <c r="B22" s="784" t="s">
        <v>346</v>
      </c>
      <c r="C22" s="758">
        <f>'Biomass Data Assumptions'!X23</f>
        <v>309.14215200000001</v>
      </c>
      <c r="D22" s="785">
        <f t="shared" si="3"/>
        <v>1126266.6881664</v>
      </c>
      <c r="E22" s="785">
        <f t="shared" si="4"/>
        <v>991431.94380845071</v>
      </c>
      <c r="F22" s="758">
        <f t="shared" si="0"/>
        <v>8084.315471784892</v>
      </c>
      <c r="G22" s="758">
        <f t="shared" si="5"/>
        <v>8977.8483406136529</v>
      </c>
      <c r="H22" s="758">
        <f t="shared" si="6"/>
        <v>11074.135694651723</v>
      </c>
      <c r="I22" s="758">
        <f t="shared" si="1"/>
        <v>2989.8202228668306</v>
      </c>
      <c r="J22" s="758">
        <f t="shared" si="2"/>
        <v>2096.2873540380697</v>
      </c>
      <c r="K22" s="915">
        <f t="shared" si="7"/>
        <v>12638.419436272929</v>
      </c>
      <c r="L22" s="724"/>
      <c r="R22" s="784" t="s">
        <v>346</v>
      </c>
      <c r="S22" s="944">
        <f t="shared" si="8"/>
        <v>309.14215200000001</v>
      </c>
      <c r="T22" s="946">
        <f t="shared" si="9"/>
        <v>156425.928912</v>
      </c>
      <c r="U22" s="946">
        <f t="shared" si="10"/>
        <v>3033.09876160368</v>
      </c>
      <c r="V22" s="944">
        <f t="shared" si="11"/>
        <v>12227.658437122129</v>
      </c>
      <c r="W22" s="944">
        <f t="shared" si="12"/>
        <v>15245.740309550256</v>
      </c>
      <c r="Y22" s="784" t="s">
        <v>346</v>
      </c>
      <c r="Z22" s="944">
        <f t="shared" si="13"/>
        <v>309.14215200000001</v>
      </c>
      <c r="AA22" s="946">
        <f t="shared" si="14"/>
        <v>156425.928912</v>
      </c>
      <c r="AB22" s="946">
        <f t="shared" si="15"/>
        <v>3516.298456012848</v>
      </c>
      <c r="AC22" s="944">
        <f t="shared" si="16"/>
        <v>12192.775454974753</v>
      </c>
      <c r="AD22" s="944">
        <f t="shared" si="17"/>
        <v>15313.159884911327</v>
      </c>
    </row>
    <row r="23" spans="2:30" x14ac:dyDescent="0.3">
      <c r="B23" s="784" t="s">
        <v>347</v>
      </c>
      <c r="C23" s="758">
        <f>'Biomass Data Assumptions'!X24</f>
        <v>0</v>
      </c>
      <c r="D23" s="785">
        <f t="shared" si="3"/>
        <v>0</v>
      </c>
      <c r="E23" s="785">
        <f t="shared" si="4"/>
        <v>0</v>
      </c>
      <c r="F23" s="758">
        <f t="shared" si="0"/>
        <v>0</v>
      </c>
      <c r="G23" s="758">
        <f t="shared" si="5"/>
        <v>0</v>
      </c>
      <c r="H23" s="758">
        <f t="shared" si="6"/>
        <v>0</v>
      </c>
      <c r="I23" s="758">
        <f t="shared" si="1"/>
        <v>0</v>
      </c>
      <c r="J23" s="758">
        <f t="shared" si="2"/>
        <v>0</v>
      </c>
      <c r="K23" s="915">
        <f t="shared" si="7"/>
        <v>0</v>
      </c>
      <c r="L23" s="724"/>
      <c r="R23" s="784" t="s">
        <v>347</v>
      </c>
      <c r="S23" s="944">
        <f t="shared" si="8"/>
        <v>0</v>
      </c>
      <c r="T23" s="946">
        <f t="shared" si="9"/>
        <v>0</v>
      </c>
      <c r="U23" s="946">
        <f t="shared" si="10"/>
        <v>0</v>
      </c>
      <c r="V23" s="944">
        <f t="shared" si="11"/>
        <v>0</v>
      </c>
      <c r="W23" s="944">
        <f t="shared" si="12"/>
        <v>0</v>
      </c>
      <c r="Y23" s="784" t="s">
        <v>347</v>
      </c>
      <c r="Z23" s="944">
        <f t="shared" si="13"/>
        <v>0</v>
      </c>
      <c r="AA23" s="946">
        <f t="shared" si="14"/>
        <v>0</v>
      </c>
      <c r="AB23" s="946">
        <f t="shared" si="15"/>
        <v>0</v>
      </c>
      <c r="AC23" s="944">
        <f t="shared" si="16"/>
        <v>0</v>
      </c>
      <c r="AD23" s="944">
        <f t="shared" si="17"/>
        <v>0</v>
      </c>
    </row>
    <row r="24" spans="2:30" x14ac:dyDescent="0.3">
      <c r="B24" s="784" t="s">
        <v>348</v>
      </c>
      <c r="C24" s="758">
        <f>'Biomass Data Assumptions'!X25</f>
        <v>17.764743112578401</v>
      </c>
      <c r="D24" s="785">
        <f t="shared" si="3"/>
        <v>64720.512107745628</v>
      </c>
      <c r="E24" s="785">
        <f t="shared" si="4"/>
        <v>56972.281784987354</v>
      </c>
      <c r="F24" s="758">
        <f t="shared" si="0"/>
        <v>464.5622949448242</v>
      </c>
      <c r="G24" s="758">
        <f t="shared" si="5"/>
        <v>515.90884142738901</v>
      </c>
      <c r="H24" s="758">
        <f t="shared" si="6"/>
        <v>636.37124389728262</v>
      </c>
      <c r="I24" s="758">
        <f t="shared" si="1"/>
        <v>171.80894895245842</v>
      </c>
      <c r="J24" s="758">
        <f t="shared" si="2"/>
        <v>120.46240246989362</v>
      </c>
      <c r="K24" s="915">
        <f t="shared" si="7"/>
        <v>726.26224920115874</v>
      </c>
      <c r="L24" s="724"/>
      <c r="R24" s="784" t="s">
        <v>348</v>
      </c>
      <c r="S24" s="944">
        <f t="shared" si="8"/>
        <v>17.764743112578401</v>
      </c>
      <c r="T24" s="946">
        <f t="shared" si="9"/>
        <v>8988.9600149646703</v>
      </c>
      <c r="U24" s="946">
        <f t="shared" si="10"/>
        <v>174.29593469016496</v>
      </c>
      <c r="V24" s="944">
        <f t="shared" si="11"/>
        <v>702.65801540977338</v>
      </c>
      <c r="W24" s="944">
        <f t="shared" si="12"/>
        <v>876.09100993850166</v>
      </c>
      <c r="Y24" s="784" t="s">
        <v>348</v>
      </c>
      <c r="Z24" s="944">
        <f t="shared" si="13"/>
        <v>17.764743112578401</v>
      </c>
      <c r="AA24" s="946">
        <f t="shared" si="14"/>
        <v>8988.9600149646703</v>
      </c>
      <c r="AB24" s="946">
        <f t="shared" si="15"/>
        <v>202.06283217639083</v>
      </c>
      <c r="AC24" s="944">
        <f t="shared" si="16"/>
        <v>700.65347732643625</v>
      </c>
      <c r="AD24" s="944">
        <f t="shared" si="17"/>
        <v>879.96525170495136</v>
      </c>
    </row>
    <row r="25" spans="2:30" x14ac:dyDescent="0.3">
      <c r="B25" s="784" t="s">
        <v>349</v>
      </c>
      <c r="C25" s="758">
        <f>'Biomass Data Assumptions'!X26</f>
        <v>0</v>
      </c>
      <c r="D25" s="785">
        <f t="shared" si="3"/>
        <v>0</v>
      </c>
      <c r="E25" s="785">
        <f t="shared" si="4"/>
        <v>0</v>
      </c>
      <c r="F25" s="758">
        <f t="shared" si="0"/>
        <v>0</v>
      </c>
      <c r="G25" s="758">
        <f t="shared" si="5"/>
        <v>0</v>
      </c>
      <c r="H25" s="758">
        <f t="shared" si="6"/>
        <v>0</v>
      </c>
      <c r="I25" s="758">
        <f t="shared" si="1"/>
        <v>0</v>
      </c>
      <c r="J25" s="758">
        <f t="shared" si="2"/>
        <v>0</v>
      </c>
      <c r="K25" s="915">
        <f t="shared" si="7"/>
        <v>0</v>
      </c>
      <c r="L25" s="724"/>
      <c r="R25" s="784" t="s">
        <v>349</v>
      </c>
      <c r="S25" s="944">
        <f t="shared" si="8"/>
        <v>0</v>
      </c>
      <c r="T25" s="946">
        <f t="shared" si="9"/>
        <v>0</v>
      </c>
      <c r="U25" s="946">
        <f t="shared" si="10"/>
        <v>0</v>
      </c>
      <c r="V25" s="944">
        <f t="shared" si="11"/>
        <v>0</v>
      </c>
      <c r="W25" s="944">
        <f t="shared" si="12"/>
        <v>0</v>
      </c>
      <c r="Y25" s="784" t="s">
        <v>349</v>
      </c>
      <c r="Z25" s="944">
        <f t="shared" si="13"/>
        <v>0</v>
      </c>
      <c r="AA25" s="946">
        <f t="shared" si="14"/>
        <v>0</v>
      </c>
      <c r="AB25" s="946">
        <f t="shared" si="15"/>
        <v>0</v>
      </c>
      <c r="AC25" s="944">
        <f t="shared" si="16"/>
        <v>0</v>
      </c>
      <c r="AD25" s="944">
        <f t="shared" si="17"/>
        <v>0</v>
      </c>
    </row>
    <row r="26" spans="2:30" ht="15" thickBot="1" x14ac:dyDescent="0.35">
      <c r="B26" s="786" t="s">
        <v>350</v>
      </c>
      <c r="C26" s="787">
        <f>'Biomass Data Assumptions'!X27</f>
        <v>93.632656999999995</v>
      </c>
      <c r="D26" s="788">
        <f t="shared" si="3"/>
        <v>341122.49598240003</v>
      </c>
      <c r="E26" s="788">
        <f t="shared" si="4"/>
        <v>300283.88730845076</v>
      </c>
      <c r="F26" s="787">
        <f t="shared" si="0"/>
        <v>2448.569154197477</v>
      </c>
      <c r="G26" s="787">
        <f t="shared" si="5"/>
        <v>2719.2014703795458</v>
      </c>
      <c r="H26" s="787">
        <f t="shared" si="6"/>
        <v>3354.1228278335257</v>
      </c>
      <c r="I26" s="787">
        <f t="shared" si="1"/>
        <v>905.55367363604864</v>
      </c>
      <c r="J26" s="787">
        <f t="shared" si="2"/>
        <v>634.92135745397991</v>
      </c>
      <c r="K26" s="915">
        <f t="shared" si="7"/>
        <v>3827.911478401938</v>
      </c>
      <c r="L26" s="724"/>
      <c r="R26" s="786" t="s">
        <v>350</v>
      </c>
      <c r="S26" s="944">
        <f t="shared" si="8"/>
        <v>93.632656999999995</v>
      </c>
      <c r="T26" s="946">
        <f t="shared" si="9"/>
        <v>47378.124442</v>
      </c>
      <c r="U26" s="946">
        <f t="shared" si="10"/>
        <v>918.66183293038</v>
      </c>
      <c r="V26" s="944">
        <f t="shared" si="11"/>
        <v>3703.5006095066983</v>
      </c>
      <c r="W26" s="944">
        <f t="shared" si="12"/>
        <v>4617.6141424906455</v>
      </c>
      <c r="Y26" s="786" t="s">
        <v>350</v>
      </c>
      <c r="Z26" s="944">
        <f t="shared" si="13"/>
        <v>93.632656999999995</v>
      </c>
      <c r="AA26" s="946">
        <f t="shared" si="14"/>
        <v>47378.124442</v>
      </c>
      <c r="AB26" s="946">
        <f t="shared" si="15"/>
        <v>1065.0128593317179</v>
      </c>
      <c r="AC26" s="944">
        <f t="shared" si="16"/>
        <v>3692.9352877561323</v>
      </c>
      <c r="AD26" s="944">
        <f t="shared" si="17"/>
        <v>4638.0341141251474</v>
      </c>
    </row>
    <row r="27" spans="2:30" ht="15" thickTop="1" x14ac:dyDescent="0.3">
      <c r="B27" s="789" t="s">
        <v>351</v>
      </c>
      <c r="C27" s="790">
        <f>SUM(C6:C26)</f>
        <v>10194.573463475141</v>
      </c>
      <c r="D27" s="790">
        <f t="shared" ref="D27:J27" si="18">SUM(D6:D26)</f>
        <v>37140870.042132638</v>
      </c>
      <c r="E27" s="790">
        <f t="shared" si="18"/>
        <v>32694427.85399</v>
      </c>
      <c r="F27" s="790">
        <f t="shared" si="18"/>
        <v>266596.28085599846</v>
      </c>
      <c r="G27" s="790">
        <f t="shared" si="18"/>
        <v>296062.2932207713</v>
      </c>
      <c r="H27" s="790">
        <f t="shared" si="18"/>
        <v>365191.51190879761</v>
      </c>
      <c r="I27" s="790">
        <f t="shared" si="18"/>
        <v>98595.231052799078</v>
      </c>
      <c r="J27" s="790">
        <f t="shared" si="18"/>
        <v>69129.218688026231</v>
      </c>
      <c r="K27" s="915">
        <f>SUM(K6:K26)</f>
        <v>416776.86000353802</v>
      </c>
      <c r="L27" s="724"/>
      <c r="R27" s="789" t="s">
        <v>351</v>
      </c>
      <c r="S27" s="944">
        <f>SUM(S6:S26)</f>
        <v>10194.573463475141</v>
      </c>
      <c r="T27" s="944">
        <f>SUM(T6:T26)</f>
        <v>5158454.1725184219</v>
      </c>
      <c r="U27" s="944">
        <f>SUM(U6:U26)</f>
        <v>100022.42640513217</v>
      </c>
      <c r="V27" s="944">
        <f>SUM(V6:V26)</f>
        <v>403231.2042115925</v>
      </c>
      <c r="W27" s="944">
        <f>SUM(W6:W26)</f>
        <v>502758.41901616292</v>
      </c>
      <c r="Y27" s="789" t="s">
        <v>351</v>
      </c>
      <c r="Z27" s="944">
        <f>SUM(Z6:Z26)</f>
        <v>10194.573463475141</v>
      </c>
      <c r="AA27" s="944">
        <f>SUM(AA6:AA26)</f>
        <v>5158454.1725184219</v>
      </c>
      <c r="AB27" s="944">
        <f>SUM(AB6:AB26)</f>
        <v>115956.89134404161</v>
      </c>
      <c r="AC27" s="944">
        <f>SUM(AC6:AC26)</f>
        <v>402080.86893112079</v>
      </c>
      <c r="AD27" s="944">
        <f>SUM(AD6:AD26)</f>
        <v>504981.71276451828</v>
      </c>
    </row>
    <row r="28" spans="2:30" ht="15" x14ac:dyDescent="0.35">
      <c r="B28" s="726" t="s">
        <v>1246</v>
      </c>
      <c r="C28" s="724"/>
      <c r="D28" s="724"/>
      <c r="E28" s="724"/>
      <c r="F28" s="724"/>
      <c r="G28" s="724"/>
      <c r="H28" s="724"/>
      <c r="I28" s="724"/>
      <c r="J28" s="724"/>
      <c r="K28" s="724"/>
      <c r="L28" s="724"/>
      <c r="S28" s="942"/>
      <c r="T28" s="942"/>
      <c r="Z28" s="942"/>
      <c r="AA28" s="942"/>
    </row>
    <row r="29" spans="2:30" x14ac:dyDescent="0.3">
      <c r="B29" s="724"/>
      <c r="C29" s="724"/>
      <c r="D29" s="724"/>
      <c r="E29" s="724"/>
      <c r="F29" s="724"/>
      <c r="G29" s="724"/>
      <c r="H29" s="724"/>
      <c r="I29" s="724"/>
      <c r="J29" s="724"/>
      <c r="K29" s="724"/>
      <c r="L29" s="724"/>
    </row>
    <row r="30" spans="2:30" x14ac:dyDescent="0.3">
      <c r="B30" s="725" t="s">
        <v>1533</v>
      </c>
      <c r="C30" s="726"/>
      <c r="D30" s="726"/>
      <c r="E30" s="726"/>
      <c r="F30" s="726"/>
      <c r="G30" s="726"/>
      <c r="H30" s="726"/>
      <c r="I30" s="726"/>
      <c r="J30" s="726"/>
      <c r="K30" s="726"/>
      <c r="L30" s="726"/>
      <c r="S30" s="947" t="s">
        <v>1426</v>
      </c>
      <c r="Z30" s="947" t="s">
        <v>1426</v>
      </c>
    </row>
    <row r="31" spans="2:30" x14ac:dyDescent="0.3">
      <c r="B31" s="726" t="s">
        <v>1194</v>
      </c>
      <c r="C31" s="726"/>
      <c r="D31" s="726"/>
      <c r="E31" s="726"/>
      <c r="F31" s="726"/>
      <c r="G31" s="726"/>
      <c r="H31" s="726"/>
      <c r="I31" s="726"/>
      <c r="J31" s="726"/>
      <c r="K31" s="726"/>
      <c r="L31" s="726"/>
      <c r="S31" s="983" t="s">
        <v>1491</v>
      </c>
      <c r="Z31" s="1017" t="s">
        <v>1491</v>
      </c>
    </row>
    <row r="32" spans="2:30" x14ac:dyDescent="0.3">
      <c r="B32" s="726" t="s">
        <v>1093</v>
      </c>
      <c r="C32" s="726"/>
      <c r="D32" s="726"/>
      <c r="E32" s="726"/>
      <c r="F32" s="726"/>
      <c r="G32" s="726"/>
      <c r="H32" s="726"/>
      <c r="I32" s="726"/>
      <c r="J32" s="726"/>
      <c r="K32" s="726"/>
      <c r="L32" s="726"/>
      <c r="S32" s="983" t="s">
        <v>1488</v>
      </c>
      <c r="Z32" s="983" t="s">
        <v>1489</v>
      </c>
    </row>
    <row r="33" spans="2:30" x14ac:dyDescent="0.3">
      <c r="B33" s="726" t="s">
        <v>1247</v>
      </c>
      <c r="C33" s="726"/>
      <c r="D33" s="726"/>
      <c r="E33" s="726"/>
      <c r="F33" s="726"/>
      <c r="G33" s="726"/>
      <c r="H33" s="726" t="s">
        <v>1535</v>
      </c>
      <c r="I33" s="726"/>
      <c r="J33" s="726"/>
      <c r="K33" s="726"/>
      <c r="L33" s="726"/>
      <c r="M33" s="726"/>
    </row>
    <row r="34" spans="2:30" x14ac:dyDescent="0.3">
      <c r="B34" s="726"/>
      <c r="C34" s="726"/>
      <c r="D34" s="726"/>
      <c r="E34" s="726"/>
      <c r="F34" s="726"/>
      <c r="G34" s="726"/>
      <c r="H34" s="726" t="s">
        <v>1093</v>
      </c>
      <c r="I34" s="726"/>
      <c r="J34" s="726"/>
      <c r="K34" s="726"/>
      <c r="L34" s="726"/>
      <c r="M34" s="726"/>
    </row>
    <row r="35" spans="2:30" x14ac:dyDescent="0.3">
      <c r="B35" s="725" t="s">
        <v>1193</v>
      </c>
      <c r="C35" s="726"/>
      <c r="D35" s="726"/>
      <c r="E35" s="726"/>
      <c r="F35" s="726"/>
      <c r="G35" s="726"/>
      <c r="H35" s="726" t="s">
        <v>1247</v>
      </c>
      <c r="I35" s="726"/>
      <c r="J35" s="726"/>
      <c r="K35" s="726"/>
      <c r="L35" s="726"/>
      <c r="M35" s="726"/>
    </row>
    <row r="36" spans="2:30" x14ac:dyDescent="0.3">
      <c r="B36" s="726" t="s">
        <v>1198</v>
      </c>
      <c r="C36" s="726"/>
      <c r="D36" s="726"/>
      <c r="E36" s="726"/>
      <c r="F36" s="726"/>
      <c r="G36" s="726"/>
      <c r="H36" s="726" t="s">
        <v>1536</v>
      </c>
      <c r="I36" s="726"/>
      <c r="J36" s="726"/>
      <c r="K36" s="726"/>
      <c r="L36" s="726"/>
      <c r="M36" s="726"/>
    </row>
    <row r="37" spans="2:30" x14ac:dyDescent="0.3">
      <c r="B37" s="726" t="s">
        <v>1248</v>
      </c>
      <c r="C37" s="726"/>
      <c r="D37" s="726"/>
      <c r="E37" s="726"/>
      <c r="F37" s="726"/>
      <c r="G37" s="726"/>
      <c r="H37" s="725" t="s">
        <v>1193</v>
      </c>
      <c r="I37" s="726"/>
      <c r="J37" s="726"/>
      <c r="K37" s="726"/>
      <c r="L37" s="726"/>
      <c r="M37" s="726"/>
    </row>
    <row r="38" spans="2:30" x14ac:dyDescent="0.3">
      <c r="B38" s="726"/>
      <c r="C38" s="726"/>
      <c r="D38" s="726"/>
      <c r="E38" s="726"/>
      <c r="F38" s="726"/>
      <c r="G38" s="726"/>
      <c r="H38" s="726" t="s">
        <v>1534</v>
      </c>
      <c r="I38" s="726"/>
      <c r="J38" s="726"/>
      <c r="K38" s="726"/>
      <c r="L38" s="726"/>
      <c r="M38" s="726"/>
    </row>
    <row r="39" spans="2:30" ht="15" x14ac:dyDescent="0.35">
      <c r="B39" s="725" t="s">
        <v>1225</v>
      </c>
      <c r="C39" s="726"/>
      <c r="D39" s="726"/>
      <c r="E39" s="726"/>
      <c r="F39" s="726"/>
      <c r="G39" s="726"/>
      <c r="H39" s="726" t="s">
        <v>1248</v>
      </c>
      <c r="I39" s="726"/>
      <c r="J39" s="726"/>
      <c r="K39" s="726"/>
      <c r="L39" s="726"/>
      <c r="M39" s="726"/>
    </row>
    <row r="40" spans="2:30" x14ac:dyDescent="0.3">
      <c r="B40" s="726" t="s">
        <v>1195</v>
      </c>
      <c r="C40" s="726"/>
      <c r="D40" s="726"/>
      <c r="E40" s="726"/>
      <c r="F40" s="726"/>
      <c r="G40" s="726"/>
      <c r="H40" s="726"/>
      <c r="I40" s="726"/>
      <c r="J40" s="726"/>
      <c r="K40" s="726"/>
      <c r="L40" s="726"/>
      <c r="M40" s="726"/>
    </row>
    <row r="41" spans="2:30" ht="15" x14ac:dyDescent="0.35">
      <c r="B41" s="726" t="s">
        <v>1226</v>
      </c>
      <c r="C41" s="726"/>
      <c r="D41" s="726"/>
      <c r="E41" s="726"/>
      <c r="F41" s="726"/>
      <c r="G41" s="726"/>
      <c r="H41" s="725" t="s">
        <v>1225</v>
      </c>
      <c r="I41" s="726"/>
      <c r="J41" s="726"/>
      <c r="K41" s="726"/>
      <c r="L41" s="726"/>
      <c r="M41" s="726"/>
    </row>
    <row r="42" spans="2:30" x14ac:dyDescent="0.3">
      <c r="B42" s="726" t="s">
        <v>1072</v>
      </c>
      <c r="C42" s="726"/>
      <c r="D42" s="726"/>
      <c r="E42" s="726"/>
      <c r="F42" s="726"/>
      <c r="G42" s="726"/>
      <c r="H42" s="726" t="s">
        <v>1537</v>
      </c>
      <c r="I42" s="726"/>
      <c r="J42" s="726"/>
      <c r="K42" s="726"/>
      <c r="L42" s="726"/>
      <c r="M42" s="726"/>
      <c r="T42" s="1016"/>
      <c r="U42" s="1016"/>
      <c r="V42" s="1016"/>
      <c r="W42" s="1016"/>
      <c r="X42" s="1016"/>
      <c r="Y42" s="1016"/>
      <c r="Z42" s="1016"/>
      <c r="AA42" s="1016"/>
      <c r="AB42" s="1016"/>
      <c r="AC42" s="1016"/>
      <c r="AD42" s="1016"/>
    </row>
    <row r="43" spans="2:30" x14ac:dyDescent="0.3">
      <c r="B43" s="726" t="s">
        <v>1074</v>
      </c>
      <c r="C43" s="726"/>
      <c r="D43" s="726"/>
      <c r="E43" s="726"/>
      <c r="F43" s="726"/>
      <c r="G43" s="726"/>
      <c r="H43" s="726" t="s">
        <v>1226</v>
      </c>
      <c r="I43" s="726"/>
      <c r="J43" s="726"/>
      <c r="K43" s="726"/>
      <c r="L43" s="726"/>
      <c r="M43" s="726"/>
      <c r="T43" s="1016"/>
      <c r="U43" s="1016"/>
      <c r="V43" s="1016"/>
      <c r="W43" s="1016"/>
      <c r="X43" s="1016"/>
      <c r="Y43" s="1016"/>
      <c r="Z43" s="1016"/>
      <c r="AA43" s="1016"/>
      <c r="AB43" s="1016"/>
      <c r="AC43" s="1016"/>
      <c r="AD43" s="1016"/>
    </row>
    <row r="44" spans="2:30" ht="15.6" x14ac:dyDescent="0.3">
      <c r="B44" s="726" t="s">
        <v>1227</v>
      </c>
      <c r="C44" s="726"/>
      <c r="D44" s="726"/>
      <c r="E44" s="726"/>
      <c r="F44" s="726"/>
      <c r="G44" s="726"/>
      <c r="H44" s="726" t="s">
        <v>1072</v>
      </c>
      <c r="I44" s="726"/>
      <c r="J44" s="726"/>
      <c r="K44" s="726"/>
      <c r="L44" s="726"/>
      <c r="M44" s="726"/>
      <c r="T44" s="1016"/>
      <c r="U44" s="1018" t="s">
        <v>1535</v>
      </c>
      <c r="V44" s="1018"/>
      <c r="W44" s="1018"/>
      <c r="X44" s="1018"/>
      <c r="Y44" s="1018"/>
      <c r="Z44" s="1019"/>
      <c r="AA44" s="1020"/>
      <c r="AB44" s="1020"/>
      <c r="AC44" s="1020"/>
      <c r="AD44" s="1016"/>
    </row>
    <row r="45" spans="2:30" ht="15.6" x14ac:dyDescent="0.3">
      <c r="B45" s="726" t="s">
        <v>1228</v>
      </c>
      <c r="C45" s="726"/>
      <c r="D45" s="726"/>
      <c r="E45" s="726"/>
      <c r="F45" s="726"/>
      <c r="G45" s="726"/>
      <c r="H45" s="726" t="s">
        <v>1074</v>
      </c>
      <c r="I45" s="726"/>
      <c r="J45" s="726"/>
      <c r="K45" s="726"/>
      <c r="L45" s="726"/>
      <c r="M45" s="726"/>
      <c r="T45" s="1016"/>
      <c r="U45" s="1018" t="s">
        <v>1093</v>
      </c>
      <c r="V45" s="1018"/>
      <c r="W45" s="1018"/>
      <c r="X45" s="1018"/>
      <c r="Y45" s="1018"/>
      <c r="Z45" s="1019"/>
      <c r="AA45" s="1020"/>
      <c r="AB45" s="1020"/>
      <c r="AC45" s="1020"/>
      <c r="AD45" s="1016"/>
    </row>
    <row r="46" spans="2:30" ht="18" x14ac:dyDescent="0.3">
      <c r="B46" s="726" t="s">
        <v>1075</v>
      </c>
      <c r="C46" s="726"/>
      <c r="D46" s="726"/>
      <c r="E46" s="726"/>
      <c r="F46" s="726"/>
      <c r="G46" s="726"/>
      <c r="H46" s="726" t="s">
        <v>1227</v>
      </c>
      <c r="I46" s="726"/>
      <c r="J46" s="726"/>
      <c r="K46" s="726"/>
      <c r="L46" s="726"/>
      <c r="M46" s="726"/>
      <c r="T46" s="1016"/>
      <c r="U46" s="1018" t="s">
        <v>1540</v>
      </c>
      <c r="V46" s="1018"/>
      <c r="W46" s="1018"/>
      <c r="X46" s="1018"/>
      <c r="Y46" s="1018"/>
      <c r="Z46" s="1019"/>
      <c r="AA46" s="1020"/>
      <c r="AB46" s="1020"/>
      <c r="AC46" s="1020"/>
      <c r="AD46" s="1016"/>
    </row>
    <row r="47" spans="2:30" ht="15.6" x14ac:dyDescent="0.3">
      <c r="B47" s="726"/>
      <c r="C47" s="726"/>
      <c r="D47" s="726"/>
      <c r="E47" s="726"/>
      <c r="F47" s="726"/>
      <c r="G47" s="726"/>
      <c r="H47" s="726" t="s">
        <v>1228</v>
      </c>
      <c r="I47" s="726"/>
      <c r="J47" s="726"/>
      <c r="K47" s="726"/>
      <c r="L47" s="726"/>
      <c r="M47" s="726"/>
      <c r="T47" s="1016"/>
      <c r="U47" s="1018" t="s">
        <v>1536</v>
      </c>
      <c r="V47" s="1018"/>
      <c r="W47" s="1018"/>
      <c r="X47" s="1018"/>
      <c r="Y47" s="1018"/>
      <c r="Z47" s="1019"/>
      <c r="AA47" s="1020"/>
      <c r="AB47" s="1020"/>
      <c r="AC47" s="1020"/>
      <c r="AD47" s="1016"/>
    </row>
    <row r="48" spans="2:30" ht="16.2" x14ac:dyDescent="0.35">
      <c r="B48" s="725" t="s">
        <v>1229</v>
      </c>
      <c r="C48" s="726"/>
      <c r="D48" s="726"/>
      <c r="E48" s="726"/>
      <c r="F48" s="726"/>
      <c r="G48" s="726"/>
      <c r="H48" s="726" t="s">
        <v>1075</v>
      </c>
      <c r="I48" s="726"/>
      <c r="J48" s="726"/>
      <c r="K48" s="726"/>
      <c r="L48" s="726"/>
      <c r="M48" s="726"/>
      <c r="T48" s="1016"/>
      <c r="U48" s="1021" t="s">
        <v>1193</v>
      </c>
      <c r="V48" s="1018"/>
      <c r="W48" s="1018"/>
      <c r="X48" s="1018"/>
      <c r="Y48" s="1018"/>
      <c r="Z48" s="1019"/>
      <c r="AA48" s="1020"/>
      <c r="AB48" s="1020"/>
      <c r="AC48" s="1020"/>
      <c r="AD48" s="1016"/>
    </row>
    <row r="49" spans="2:30" ht="15.6" x14ac:dyDescent="0.3">
      <c r="B49" s="726" t="s">
        <v>1196</v>
      </c>
      <c r="C49" s="726"/>
      <c r="D49" s="726"/>
      <c r="E49" s="726"/>
      <c r="F49" s="726"/>
      <c r="G49" s="726"/>
      <c r="H49" s="726"/>
      <c r="I49" s="726"/>
      <c r="J49" s="726"/>
      <c r="K49" s="726"/>
      <c r="L49" s="726"/>
      <c r="T49" s="1016"/>
      <c r="U49" s="1018" t="s">
        <v>1534</v>
      </c>
      <c r="V49" s="1018"/>
      <c r="W49" s="1018"/>
      <c r="X49" s="1018"/>
      <c r="Y49" s="1018"/>
      <c r="Z49" s="1019"/>
      <c r="AA49" s="1020"/>
      <c r="AB49" s="1020"/>
      <c r="AC49" s="1020"/>
      <c r="AD49" s="1016"/>
    </row>
    <row r="50" spans="2:30" ht="18.600000000000001" x14ac:dyDescent="0.35">
      <c r="B50" s="726" t="s">
        <v>1230</v>
      </c>
      <c r="C50" s="726"/>
      <c r="D50" s="726"/>
      <c r="E50" s="726"/>
      <c r="F50" s="726"/>
      <c r="G50" s="726"/>
      <c r="H50" s="726"/>
      <c r="I50" s="726"/>
      <c r="J50" s="726"/>
      <c r="K50" s="726"/>
      <c r="L50" s="726"/>
      <c r="T50" s="1016"/>
      <c r="U50" s="1018" t="s">
        <v>1541</v>
      </c>
      <c r="V50" s="1018"/>
      <c r="W50" s="1018"/>
      <c r="X50" s="1018"/>
      <c r="Y50" s="1018"/>
      <c r="Z50" s="1019"/>
      <c r="AA50" s="1020"/>
      <c r="AB50" s="1020"/>
      <c r="AC50" s="1020"/>
      <c r="AD50" s="1016"/>
    </row>
    <row r="51" spans="2:30" ht="15.6" x14ac:dyDescent="0.3">
      <c r="B51" s="726" t="s">
        <v>1076</v>
      </c>
      <c r="C51" s="726"/>
      <c r="D51" s="726"/>
      <c r="E51" s="726"/>
      <c r="F51" s="726"/>
      <c r="G51" s="726"/>
      <c r="H51" s="726"/>
      <c r="I51" s="726"/>
      <c r="J51" s="726"/>
      <c r="K51" s="726"/>
      <c r="L51" s="726"/>
      <c r="T51" s="1016"/>
      <c r="U51" s="1018"/>
      <c r="V51" s="1018"/>
      <c r="W51" s="1018"/>
      <c r="X51" s="1018"/>
      <c r="Y51" s="1018"/>
      <c r="Z51" s="1019"/>
      <c r="AA51" s="1020"/>
      <c r="AB51" s="1020"/>
      <c r="AC51" s="1020"/>
      <c r="AD51" s="1016"/>
    </row>
    <row r="52" spans="2:30" ht="18" x14ac:dyDescent="0.4">
      <c r="B52" s="726" t="s">
        <v>1077</v>
      </c>
      <c r="C52" s="726"/>
      <c r="D52" s="726"/>
      <c r="E52" s="726"/>
      <c r="F52" s="726"/>
      <c r="G52" s="726"/>
      <c r="H52" s="726"/>
      <c r="I52" s="726"/>
      <c r="J52" s="726"/>
      <c r="K52" s="726"/>
      <c r="L52" s="726"/>
      <c r="T52" s="1016"/>
      <c r="U52" s="1021" t="s">
        <v>1542</v>
      </c>
      <c r="V52" s="1018"/>
      <c r="W52" s="1018"/>
      <c r="X52" s="1018"/>
      <c r="Y52" s="1018"/>
      <c r="Z52" s="1019"/>
      <c r="AA52" s="1020"/>
      <c r="AB52" s="1020"/>
      <c r="AC52" s="1020"/>
      <c r="AD52" s="1016"/>
    </row>
    <row r="53" spans="2:30" ht="15.6" x14ac:dyDescent="0.3">
      <c r="B53" s="726" t="s">
        <v>1075</v>
      </c>
      <c r="C53" s="726"/>
      <c r="D53" s="726"/>
      <c r="E53" s="726"/>
      <c r="F53" s="726"/>
      <c r="G53" s="726"/>
      <c r="H53" s="726"/>
      <c r="I53" s="726"/>
      <c r="J53" s="726"/>
      <c r="K53" s="726"/>
      <c r="L53" s="726"/>
      <c r="T53" s="1016"/>
      <c r="U53" s="1018" t="s">
        <v>1537</v>
      </c>
      <c r="V53" s="1018"/>
      <c r="W53" s="1018"/>
      <c r="X53" s="1018"/>
      <c r="Y53" s="1018"/>
      <c r="Z53" s="1019"/>
      <c r="AA53" s="1020"/>
      <c r="AB53" s="1020"/>
      <c r="AC53" s="1020"/>
      <c r="AD53" s="1016"/>
    </row>
    <row r="54" spans="2:30" ht="15.6" x14ac:dyDescent="0.3">
      <c r="B54" s="726"/>
      <c r="C54" s="726"/>
      <c r="D54" s="726"/>
      <c r="E54" s="726"/>
      <c r="F54" s="726"/>
      <c r="G54" s="726"/>
      <c r="H54" s="726"/>
      <c r="I54" s="726"/>
      <c r="J54" s="726"/>
      <c r="K54" s="726"/>
      <c r="L54" s="726"/>
      <c r="T54" s="1016"/>
      <c r="U54" s="1018" t="s">
        <v>1226</v>
      </c>
      <c r="V54" s="1018"/>
      <c r="W54" s="1018"/>
      <c r="X54" s="1018"/>
      <c r="Y54" s="1018"/>
      <c r="Z54" s="1019"/>
      <c r="AA54" s="1020"/>
      <c r="AB54" s="1020"/>
      <c r="AC54" s="1020"/>
      <c r="AD54" s="1016"/>
    </row>
    <row r="55" spans="2:30" ht="16.2" x14ac:dyDescent="0.35">
      <c r="B55" s="725" t="s">
        <v>1249</v>
      </c>
      <c r="C55" s="726"/>
      <c r="D55" s="726"/>
      <c r="E55" s="726"/>
      <c r="F55" s="726"/>
      <c r="G55" s="726"/>
      <c r="H55" s="726"/>
      <c r="I55" s="726"/>
      <c r="J55" s="726"/>
      <c r="K55" s="726"/>
      <c r="L55" s="726"/>
      <c r="T55" s="1016"/>
      <c r="U55" s="1018" t="s">
        <v>1072</v>
      </c>
      <c r="V55" s="1018"/>
      <c r="W55" s="1018"/>
      <c r="X55" s="1018"/>
      <c r="Y55" s="1018"/>
      <c r="Z55" s="1019"/>
      <c r="AA55" s="1020"/>
      <c r="AB55" s="1020"/>
      <c r="AC55" s="1020"/>
      <c r="AD55" s="1016"/>
    </row>
    <row r="56" spans="2:30" ht="15.6" x14ac:dyDescent="0.3">
      <c r="B56" s="726" t="s">
        <v>1197</v>
      </c>
      <c r="C56" s="726"/>
      <c r="D56" s="726"/>
      <c r="E56" s="726"/>
      <c r="F56" s="726"/>
      <c r="G56" s="726"/>
      <c r="H56" s="726"/>
      <c r="I56" s="726"/>
      <c r="J56" s="726"/>
      <c r="K56" s="726"/>
      <c r="L56" s="726"/>
      <c r="T56" s="1016"/>
      <c r="U56" s="1018" t="s">
        <v>1074</v>
      </c>
      <c r="V56" s="1018"/>
      <c r="W56" s="1018"/>
      <c r="X56" s="1018"/>
      <c r="Y56" s="1018"/>
      <c r="Z56" s="1019"/>
      <c r="AA56" s="1020"/>
      <c r="AB56" s="1020"/>
      <c r="AC56" s="1020"/>
      <c r="AD56" s="1016"/>
    </row>
    <row r="57" spans="2:30" ht="16.2" x14ac:dyDescent="0.35">
      <c r="B57" s="726" t="s">
        <v>1250</v>
      </c>
      <c r="C57" s="726"/>
      <c r="D57" s="726"/>
      <c r="E57" s="726"/>
      <c r="F57" s="726"/>
      <c r="G57" s="726"/>
      <c r="H57" s="726"/>
      <c r="I57" s="726"/>
      <c r="J57" s="726"/>
      <c r="K57" s="726"/>
      <c r="L57" s="726"/>
      <c r="T57" s="1016"/>
      <c r="U57" s="1018" t="s">
        <v>1227</v>
      </c>
      <c r="V57" s="1018"/>
      <c r="W57" s="1018"/>
      <c r="X57" s="1018"/>
      <c r="Y57" s="1018"/>
      <c r="Z57" s="1019"/>
      <c r="AA57" s="1020"/>
      <c r="AB57" s="1020"/>
      <c r="AC57" s="1020"/>
      <c r="AD57" s="1016"/>
    </row>
    <row r="58" spans="2:30" ht="15.6" x14ac:dyDescent="0.3">
      <c r="B58" s="726" t="s">
        <v>1096</v>
      </c>
      <c r="C58" s="726"/>
      <c r="D58" s="726"/>
      <c r="E58" s="726"/>
      <c r="F58" s="726"/>
      <c r="G58" s="726"/>
      <c r="H58" s="726"/>
      <c r="I58" s="726"/>
      <c r="J58" s="726"/>
      <c r="K58" s="726"/>
      <c r="L58" s="726"/>
      <c r="T58" s="1016"/>
      <c r="U58" s="1018" t="s">
        <v>1228</v>
      </c>
      <c r="V58" s="1018"/>
      <c r="W58" s="1018"/>
      <c r="X58" s="1018"/>
      <c r="Y58" s="1018"/>
      <c r="Z58" s="1019"/>
      <c r="AA58" s="1020"/>
      <c r="AB58" s="1020"/>
      <c r="AC58" s="1020"/>
      <c r="AD58" s="1016"/>
    </row>
    <row r="59" spans="2:30" ht="15.6" x14ac:dyDescent="0.3">
      <c r="B59" s="726"/>
      <c r="C59" s="726"/>
      <c r="D59" s="726"/>
      <c r="E59" s="726"/>
      <c r="F59" s="726"/>
      <c r="G59" s="726"/>
      <c r="H59" s="726"/>
      <c r="I59" s="726"/>
      <c r="J59" s="726"/>
      <c r="K59" s="726"/>
      <c r="L59" s="726"/>
      <c r="T59" s="1016"/>
      <c r="U59" s="1018" t="s">
        <v>1075</v>
      </c>
      <c r="V59" s="1018"/>
      <c r="W59" s="1018"/>
      <c r="X59" s="1018"/>
      <c r="Y59" s="1018"/>
      <c r="Z59" s="1019"/>
      <c r="AA59" s="1020"/>
      <c r="AB59" s="1020"/>
      <c r="AC59" s="1020"/>
      <c r="AD59" s="1016"/>
    </row>
    <row r="60" spans="2:30" x14ac:dyDescent="0.3">
      <c r="B60" s="916" t="s">
        <v>1375</v>
      </c>
      <c r="C60" s="916"/>
      <c r="D60" s="916"/>
      <c r="E60" s="916"/>
      <c r="F60" s="916"/>
      <c r="G60" s="726"/>
      <c r="H60" s="726"/>
      <c r="I60" s="726"/>
      <c r="J60" s="726"/>
      <c r="K60" s="726"/>
      <c r="L60" s="726"/>
      <c r="T60" s="1016"/>
      <c r="U60" s="1022"/>
      <c r="V60" s="1022"/>
      <c r="W60" s="1022"/>
      <c r="X60" s="1022"/>
      <c r="Y60" s="1022"/>
      <c r="Z60" s="1020"/>
      <c r="AA60" s="1020"/>
      <c r="AB60" s="1020"/>
      <c r="AC60" s="1020"/>
      <c r="AD60" s="1016"/>
    </row>
    <row r="61" spans="2:30" x14ac:dyDescent="0.3">
      <c r="B61" s="916" t="s">
        <v>1376</v>
      </c>
      <c r="C61" s="916"/>
      <c r="D61" s="916"/>
      <c r="E61" s="916"/>
      <c r="F61" s="916"/>
      <c r="G61" s="726"/>
      <c r="H61" s="726"/>
      <c r="I61" s="726"/>
      <c r="J61" s="726"/>
      <c r="K61" s="726"/>
      <c r="L61" s="726"/>
      <c r="T61" s="1016"/>
      <c r="U61" s="1020"/>
      <c r="V61" s="1020"/>
      <c r="W61" s="1020"/>
      <c r="X61" s="1020"/>
      <c r="Y61" s="1020"/>
      <c r="Z61" s="1020"/>
      <c r="AA61" s="1020"/>
      <c r="AB61" s="1020"/>
      <c r="AC61" s="1020"/>
      <c r="AD61" s="1016"/>
    </row>
    <row r="62" spans="2:30" ht="16.2" x14ac:dyDescent="0.35">
      <c r="B62" s="916" t="s">
        <v>1377</v>
      </c>
      <c r="C62" s="916"/>
      <c r="D62" s="916"/>
      <c r="E62" s="916"/>
      <c r="F62" s="916"/>
      <c r="G62" s="726"/>
      <c r="H62" s="726"/>
      <c r="I62" s="726"/>
      <c r="J62" s="726"/>
      <c r="K62" s="726"/>
      <c r="L62" s="726"/>
      <c r="U62" s="1023" t="s">
        <v>1539</v>
      </c>
      <c r="V62" s="1023"/>
      <c r="W62" s="1023" t="s">
        <v>1538</v>
      </c>
      <c r="X62" s="1023"/>
      <c r="Y62" s="1023"/>
      <c r="Z62" s="1024"/>
      <c r="AA62" s="1020"/>
      <c r="AB62" s="1020"/>
      <c r="AC62" s="1020"/>
      <c r="AD62" s="1016"/>
    </row>
    <row r="63" spans="2:30" ht="15.6" x14ac:dyDescent="0.3">
      <c r="B63" s="916" t="s">
        <v>1096</v>
      </c>
      <c r="C63" s="916"/>
      <c r="D63" s="916"/>
      <c r="E63" s="916"/>
      <c r="F63" s="916"/>
      <c r="G63" s="726"/>
      <c r="H63" s="726"/>
      <c r="I63" s="726"/>
      <c r="J63" s="726"/>
      <c r="K63" s="726"/>
      <c r="L63" s="726"/>
      <c r="T63" s="1016"/>
      <c r="U63" s="1018" t="s">
        <v>1093</v>
      </c>
      <c r="V63" s="1018"/>
      <c r="W63" s="1018"/>
      <c r="X63" s="1018"/>
      <c r="Y63" s="1018"/>
      <c r="Z63" s="1025"/>
      <c r="AA63" s="1020"/>
      <c r="AB63" s="1020"/>
      <c r="AC63" s="1020"/>
      <c r="AD63" s="1016"/>
    </row>
    <row r="64" spans="2:30" ht="16.2" x14ac:dyDescent="0.35">
      <c r="B64" s="726" t="s">
        <v>1231</v>
      </c>
      <c r="C64" s="726"/>
      <c r="D64" s="726"/>
      <c r="E64" s="726"/>
      <c r="F64" s="726"/>
      <c r="G64" s="726"/>
      <c r="H64" s="726"/>
      <c r="I64" s="726"/>
      <c r="J64" s="726"/>
      <c r="K64" s="726"/>
      <c r="L64" s="726"/>
      <c r="M64" s="651"/>
      <c r="N64" s="651"/>
      <c r="T64" s="1016"/>
      <c r="U64" s="1018" t="s">
        <v>1543</v>
      </c>
      <c r="V64" s="1018"/>
      <c r="W64" s="1018"/>
      <c r="X64" s="1018"/>
      <c r="Y64" s="1018"/>
      <c r="Z64" s="1025"/>
      <c r="AA64" s="1020"/>
      <c r="AB64" s="1020"/>
      <c r="AC64" s="1020"/>
      <c r="AD64" s="1016"/>
    </row>
    <row r="65" spans="2:30" ht="15.6" x14ac:dyDescent="0.3">
      <c r="B65" s="775" t="s">
        <v>1251</v>
      </c>
      <c r="C65" s="776"/>
      <c r="D65" s="777"/>
      <c r="E65" s="777"/>
      <c r="F65" s="777"/>
      <c r="G65" s="777"/>
      <c r="H65" s="777"/>
      <c r="I65" s="777"/>
      <c r="J65" s="778"/>
      <c r="K65" s="663"/>
      <c r="L65" s="663"/>
      <c r="M65" s="689"/>
      <c r="N65" s="663"/>
      <c r="T65" s="1016"/>
      <c r="U65" s="1018" t="s">
        <v>1491</v>
      </c>
      <c r="V65" s="1018"/>
      <c r="W65" s="1018"/>
      <c r="X65" s="1018"/>
      <c r="Y65" s="1018"/>
      <c r="Z65" s="1025"/>
      <c r="AA65" s="1020"/>
      <c r="AB65" s="1020"/>
      <c r="AC65" s="1020"/>
      <c r="AD65" s="1016"/>
    </row>
    <row r="66" spans="2:30" ht="15" customHeight="1" x14ac:dyDescent="0.3">
      <c r="B66" s="1188" t="s">
        <v>1078</v>
      </c>
      <c r="C66" s="1185"/>
      <c r="D66" s="1185"/>
      <c r="E66" s="1185"/>
      <c r="F66" s="1185"/>
      <c r="G66" s="1185"/>
      <c r="H66" s="1185"/>
      <c r="I66" s="1185"/>
      <c r="J66" s="779"/>
      <c r="K66" s="662"/>
      <c r="L66" s="662"/>
      <c r="M66" s="687"/>
      <c r="N66" s="688"/>
      <c r="T66" s="1016"/>
      <c r="U66" s="1016"/>
      <c r="V66" s="1016"/>
      <c r="W66" s="1016"/>
      <c r="X66" s="1016"/>
      <c r="Y66" s="1016"/>
      <c r="Z66" s="1016"/>
      <c r="AA66" s="1016"/>
      <c r="AB66" s="1016"/>
      <c r="AC66" s="1016"/>
      <c r="AD66" s="1016"/>
    </row>
    <row r="67" spans="2:30" x14ac:dyDescent="0.3">
      <c r="B67" s="1188"/>
      <c r="C67" s="1185"/>
      <c r="D67" s="1185"/>
      <c r="E67" s="1185"/>
      <c r="F67" s="1185"/>
      <c r="G67" s="1185"/>
      <c r="H67" s="1185"/>
      <c r="I67" s="1185"/>
      <c r="J67" s="779"/>
      <c r="K67" s="662"/>
      <c r="L67" s="662"/>
      <c r="M67" s="687"/>
      <c r="N67" s="688"/>
      <c r="T67" s="1016"/>
      <c r="U67" s="1016"/>
      <c r="V67" s="1016"/>
      <c r="W67" s="1016"/>
      <c r="X67" s="1016"/>
      <c r="Y67" s="1016"/>
      <c r="Z67" s="1016"/>
      <c r="AA67" s="1016"/>
      <c r="AB67" s="1016"/>
      <c r="AC67" s="1016"/>
      <c r="AD67" s="1016"/>
    </row>
    <row r="68" spans="2:30" x14ac:dyDescent="0.3">
      <c r="B68" s="1188"/>
      <c r="C68" s="1185"/>
      <c r="D68" s="1185"/>
      <c r="E68" s="1185"/>
      <c r="F68" s="1185"/>
      <c r="G68" s="1185"/>
      <c r="H68" s="1185"/>
      <c r="I68" s="1185"/>
      <c r="J68" s="779"/>
      <c r="K68" s="662"/>
      <c r="L68" s="662"/>
      <c r="M68" s="687"/>
      <c r="N68" s="688"/>
      <c r="T68" s="1016"/>
      <c r="U68" s="1016"/>
      <c r="V68" s="1016"/>
      <c r="W68" s="1016"/>
      <c r="X68" s="1016"/>
      <c r="Y68" s="1016"/>
      <c r="Z68" s="1016"/>
      <c r="AA68" s="1016"/>
    </row>
    <row r="69" spans="2:30" x14ac:dyDescent="0.3">
      <c r="B69" s="1188"/>
      <c r="C69" s="1185"/>
      <c r="D69" s="1185"/>
      <c r="E69" s="1185"/>
      <c r="F69" s="1185"/>
      <c r="G69" s="1185"/>
      <c r="H69" s="1185"/>
      <c r="I69" s="1185"/>
      <c r="J69" s="779"/>
      <c r="K69" s="662"/>
      <c r="L69" s="662"/>
      <c r="M69" s="687"/>
      <c r="N69" s="688"/>
      <c r="T69" s="1016"/>
      <c r="U69" s="1016"/>
      <c r="V69" s="1016"/>
      <c r="W69" s="1016"/>
      <c r="X69" s="1016"/>
      <c r="Y69" s="1016"/>
      <c r="Z69" s="1016"/>
      <c r="AA69" s="1016"/>
    </row>
    <row r="70" spans="2:30" ht="15" x14ac:dyDescent="0.35">
      <c r="B70" s="1189" t="s">
        <v>1079</v>
      </c>
      <c r="C70" s="1190"/>
      <c r="D70" s="1190"/>
      <c r="E70" s="1190"/>
      <c r="F70" s="1190"/>
      <c r="G70" s="1190"/>
      <c r="H70" s="1190"/>
      <c r="I70" s="1190"/>
      <c r="J70" s="780"/>
      <c r="K70" s="664"/>
      <c r="L70" s="664"/>
      <c r="M70" s="690"/>
      <c r="N70" s="664"/>
    </row>
    <row r="71" spans="2:30" x14ac:dyDescent="0.3">
      <c r="B71" s="726"/>
      <c r="C71" s="726"/>
      <c r="D71" s="726"/>
      <c r="E71" s="726"/>
      <c r="F71" s="726"/>
      <c r="G71" s="726"/>
      <c r="H71" s="726"/>
      <c r="I71" s="726"/>
      <c r="J71" s="726"/>
      <c r="K71" s="726"/>
      <c r="L71" s="726"/>
    </row>
    <row r="72" spans="2:30" ht="15" x14ac:dyDescent="0.35">
      <c r="B72" s="726" t="s">
        <v>1252</v>
      </c>
      <c r="C72" s="726"/>
      <c r="D72" s="726"/>
      <c r="E72" s="726"/>
      <c r="F72" s="726"/>
      <c r="G72" s="726"/>
      <c r="H72" s="726"/>
      <c r="I72" s="726"/>
      <c r="J72" s="726"/>
      <c r="K72" s="726"/>
      <c r="L72" s="726"/>
      <c r="M72" s="651"/>
    </row>
    <row r="73" spans="2:30" ht="15" x14ac:dyDescent="0.35">
      <c r="B73" s="728" t="s">
        <v>1080</v>
      </c>
      <c r="C73" s="729" t="s">
        <v>1253</v>
      </c>
      <c r="D73" s="729"/>
      <c r="E73" s="729"/>
      <c r="F73" s="729"/>
      <c r="G73" s="729"/>
      <c r="H73" s="729"/>
      <c r="I73" s="729"/>
      <c r="J73" s="729"/>
      <c r="K73" s="729"/>
      <c r="L73" s="729"/>
      <c r="M73" s="685"/>
      <c r="N73" s="665"/>
    </row>
    <row r="74" spans="2:30" x14ac:dyDescent="0.3">
      <c r="B74" s="736"/>
      <c r="C74" s="737"/>
      <c r="D74" s="737"/>
      <c r="E74" s="737"/>
      <c r="F74" s="737"/>
      <c r="G74" s="737"/>
      <c r="H74" s="737"/>
      <c r="I74" s="737"/>
      <c r="J74" s="737"/>
      <c r="K74" s="737"/>
      <c r="L74" s="737"/>
      <c r="M74" s="686"/>
      <c r="N74" s="665"/>
    </row>
    <row r="75" spans="2:30" x14ac:dyDescent="0.3">
      <c r="B75" s="736" t="s">
        <v>1081</v>
      </c>
      <c r="C75" s="737"/>
      <c r="D75" s="737"/>
      <c r="E75" s="737"/>
      <c r="F75" s="737"/>
      <c r="G75" s="737"/>
      <c r="H75" s="737"/>
      <c r="I75" s="737"/>
      <c r="J75" s="737"/>
      <c r="K75" s="737"/>
      <c r="L75" s="737"/>
      <c r="M75" s="686"/>
      <c r="N75" s="665"/>
    </row>
    <row r="76" spans="2:30" x14ac:dyDescent="0.3">
      <c r="B76" s="736"/>
      <c r="C76" s="737" t="s">
        <v>1082</v>
      </c>
      <c r="D76" s="737"/>
      <c r="E76" s="737"/>
      <c r="F76" s="737"/>
      <c r="G76" s="737"/>
      <c r="H76" s="737"/>
      <c r="I76" s="737"/>
      <c r="J76" s="737"/>
      <c r="K76" s="737"/>
      <c r="L76" s="737"/>
      <c r="M76" s="686"/>
      <c r="N76" s="665"/>
    </row>
    <row r="77" spans="2:30" x14ac:dyDescent="0.3">
      <c r="B77" s="736" t="s">
        <v>1083</v>
      </c>
      <c r="C77" s="737"/>
      <c r="D77" s="737"/>
      <c r="E77" s="737"/>
      <c r="F77" s="737"/>
      <c r="G77" s="737"/>
      <c r="H77" s="737"/>
      <c r="I77" s="737"/>
      <c r="J77" s="737"/>
      <c r="K77" s="737"/>
      <c r="L77" s="737"/>
      <c r="M77" s="686"/>
      <c r="N77" s="665"/>
    </row>
    <row r="78" spans="2:30" x14ac:dyDescent="0.3">
      <c r="B78" s="736"/>
      <c r="C78" s="737" t="s">
        <v>1084</v>
      </c>
      <c r="D78" s="737"/>
      <c r="E78" s="737"/>
      <c r="F78" s="737"/>
      <c r="G78" s="737"/>
      <c r="H78" s="737"/>
      <c r="I78" s="737"/>
      <c r="J78" s="737"/>
      <c r="K78" s="737"/>
      <c r="L78" s="737"/>
      <c r="M78" s="686"/>
      <c r="N78" s="665"/>
    </row>
    <row r="79" spans="2:30" ht="15" x14ac:dyDescent="0.35">
      <c r="B79" s="736" t="s">
        <v>1234</v>
      </c>
      <c r="C79" s="737"/>
      <c r="D79" s="737"/>
      <c r="E79" s="737"/>
      <c r="F79" s="737"/>
      <c r="G79" s="737"/>
      <c r="H79" s="737"/>
      <c r="I79" s="737"/>
      <c r="J79" s="737"/>
      <c r="K79" s="737"/>
      <c r="L79" s="737"/>
      <c r="M79" s="686"/>
      <c r="N79" s="665"/>
    </row>
    <row r="80" spans="2:30" ht="15" x14ac:dyDescent="0.35">
      <c r="B80" s="736"/>
      <c r="C80" s="737" t="s">
        <v>1235</v>
      </c>
      <c r="D80" s="737"/>
      <c r="E80" s="737"/>
      <c r="F80" s="737"/>
      <c r="G80" s="737"/>
      <c r="H80" s="737"/>
      <c r="I80" s="737"/>
      <c r="J80" s="737"/>
      <c r="K80" s="737"/>
      <c r="L80" s="737"/>
      <c r="M80" s="686"/>
      <c r="N80" s="665"/>
    </row>
    <row r="81" spans="2:14" ht="15" x14ac:dyDescent="0.35">
      <c r="B81" s="738" t="s">
        <v>1236</v>
      </c>
      <c r="C81" s="791"/>
      <c r="D81" s="791"/>
      <c r="E81" s="791"/>
      <c r="F81" s="791"/>
      <c r="G81" s="791"/>
      <c r="H81" s="791"/>
      <c r="I81" s="791"/>
      <c r="J81" s="791"/>
      <c r="K81" s="791"/>
      <c r="L81" s="791"/>
      <c r="M81" s="686"/>
      <c r="N81" s="665"/>
    </row>
    <row r="82" spans="2:14" x14ac:dyDescent="0.3">
      <c r="B82" s="726"/>
      <c r="C82" s="726"/>
      <c r="D82" s="726"/>
      <c r="E82" s="726"/>
      <c r="F82" s="726"/>
      <c r="G82" s="726"/>
      <c r="H82" s="726"/>
      <c r="I82" s="726"/>
      <c r="J82" s="726"/>
      <c r="K82" s="726"/>
      <c r="L82" s="726"/>
    </row>
    <row r="83" spans="2:14" x14ac:dyDescent="0.3">
      <c r="B83" s="726" t="s">
        <v>1085</v>
      </c>
      <c r="C83" s="726"/>
      <c r="D83" s="726"/>
      <c r="E83" s="726"/>
      <c r="F83" s="726"/>
      <c r="G83" s="726"/>
      <c r="H83" s="726"/>
      <c r="I83" s="726"/>
      <c r="J83" s="726"/>
      <c r="K83" s="726"/>
      <c r="L83" s="726"/>
    </row>
    <row r="84" spans="2:14" x14ac:dyDescent="0.3">
      <c r="B84" s="726" t="s">
        <v>1254</v>
      </c>
      <c r="C84" s="726"/>
      <c r="D84" s="726"/>
      <c r="E84" s="726"/>
      <c r="F84" s="726"/>
      <c r="G84" s="726"/>
      <c r="H84" s="726"/>
      <c r="I84" s="726"/>
      <c r="J84" s="726"/>
      <c r="K84" s="726"/>
      <c r="L84" s="726"/>
    </row>
    <row r="85" spans="2:14" x14ac:dyDescent="0.3">
      <c r="B85" s="731" t="s">
        <v>1255</v>
      </c>
      <c r="C85" s="781"/>
      <c r="D85" s="781"/>
      <c r="E85" s="781"/>
      <c r="F85" s="781"/>
      <c r="G85" s="781"/>
      <c r="H85" s="781"/>
      <c r="I85" s="781"/>
      <c r="J85" s="781"/>
      <c r="K85" s="726"/>
      <c r="L85" s="726"/>
    </row>
    <row r="86" spans="2:14" x14ac:dyDescent="0.3">
      <c r="B86" s="731" t="s">
        <v>1256</v>
      </c>
      <c r="C86" s="781"/>
      <c r="D86" s="781"/>
      <c r="E86" s="781"/>
      <c r="F86" s="781"/>
      <c r="G86" s="781"/>
      <c r="H86" s="781"/>
      <c r="I86" s="781"/>
      <c r="J86" s="781"/>
      <c r="K86" s="726"/>
      <c r="L86" s="726"/>
    </row>
    <row r="87" spans="2:14" x14ac:dyDescent="0.3">
      <c r="B87" s="781" t="s">
        <v>1257</v>
      </c>
      <c r="C87" s="781"/>
      <c r="D87" s="781"/>
      <c r="E87" s="781"/>
      <c r="F87" s="781"/>
      <c r="G87" s="781"/>
      <c r="H87" s="781"/>
      <c r="I87" s="781"/>
      <c r="J87" s="781"/>
      <c r="K87" s="726"/>
      <c r="L87" s="726"/>
    </row>
    <row r="88" spans="2:14" x14ac:dyDescent="0.3">
      <c r="B88" s="781" t="s">
        <v>1258</v>
      </c>
      <c r="C88" s="781"/>
      <c r="D88" s="781"/>
      <c r="E88" s="781"/>
      <c r="F88" s="781"/>
      <c r="G88" s="781"/>
      <c r="H88" s="781"/>
      <c r="I88" s="781"/>
      <c r="J88" s="781"/>
      <c r="K88" s="726"/>
      <c r="L88" s="726"/>
    </row>
  </sheetData>
  <mergeCells count="4">
    <mergeCell ref="C4:J4"/>
    <mergeCell ref="B2:D2"/>
    <mergeCell ref="B66:I69"/>
    <mergeCell ref="B70:I70"/>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X63"/>
  <sheetViews>
    <sheetView topLeftCell="N1" zoomScale="75" zoomScaleNormal="75" workbookViewId="0">
      <selection activeCell="X25" sqref="X25"/>
    </sheetView>
  </sheetViews>
  <sheetFormatPr defaultColWidth="9.109375" defaultRowHeight="14.4" x14ac:dyDescent="0.3"/>
  <cols>
    <col min="1" max="1" width="9.109375" style="650"/>
    <col min="2" max="2" width="15.6640625" style="650" customWidth="1"/>
    <col min="3" max="3" width="22.6640625" style="650" customWidth="1"/>
    <col min="4" max="4" width="29" style="650" customWidth="1"/>
    <col min="5" max="5" width="22.33203125" style="650" customWidth="1"/>
    <col min="6" max="8" width="24.6640625" style="650" customWidth="1"/>
    <col min="9" max="11" width="9.109375" style="650"/>
    <col min="12" max="12" width="15.5546875" style="650" customWidth="1"/>
    <col min="13" max="21" width="18.33203125" style="650" customWidth="1"/>
    <col min="22" max="22" width="25.44140625" style="650" customWidth="1"/>
    <col min="23" max="23" width="17.6640625" style="650" customWidth="1"/>
    <col min="24" max="24" width="14.44140625" style="650" customWidth="1"/>
    <col min="25" max="16384" width="9.109375" style="650"/>
  </cols>
  <sheetData>
    <row r="1" spans="2:24" x14ac:dyDescent="0.3">
      <c r="B1" s="741" t="s">
        <v>1125</v>
      </c>
      <c r="C1" s="724"/>
      <c r="D1" s="724"/>
      <c r="E1" s="724"/>
      <c r="F1" s="724"/>
      <c r="G1" s="724"/>
      <c r="H1" s="724"/>
    </row>
    <row r="2" spans="2:24" x14ac:dyDescent="0.3">
      <c r="B2" s="774" t="s">
        <v>1289</v>
      </c>
      <c r="C2" s="774"/>
      <c r="D2" s="724"/>
      <c r="E2" s="724"/>
      <c r="F2" s="724"/>
      <c r="G2" s="724"/>
      <c r="H2" s="724"/>
    </row>
    <row r="3" spans="2:24" x14ac:dyDescent="0.3">
      <c r="B3" s="724"/>
      <c r="C3" s="724"/>
      <c r="D3" s="724"/>
      <c r="E3" s="724"/>
      <c r="F3" s="724"/>
      <c r="G3" s="724"/>
      <c r="H3" s="724"/>
    </row>
    <row r="4" spans="2:24" ht="71.25" customHeight="1" x14ac:dyDescent="0.3">
      <c r="B4" s="783" t="s">
        <v>322</v>
      </c>
      <c r="C4" s="745" t="str">
        <f>IF('Bioenergy Calculator'!H75="No","Food waste, Landfilled
(tons/yr)","Food waste
(tons/yr)")</f>
        <v>Food waste, Landfilled
(tons/yr)</v>
      </c>
      <c r="D4" s="745" t="s">
        <v>1069</v>
      </c>
      <c r="E4" s="745" t="s">
        <v>1262</v>
      </c>
      <c r="F4" s="745" t="s">
        <v>1242</v>
      </c>
      <c r="G4" s="745" t="s">
        <v>1378</v>
      </c>
      <c r="H4" s="745" t="s">
        <v>1379</v>
      </c>
      <c r="L4" s="783" t="s">
        <v>322</v>
      </c>
      <c r="M4" s="921" t="str">
        <f>IF('Bioenergy Calculator'!R75="No","Food waste, Landfilled
(tons/yr)","Food waste
(tons/yr)")</f>
        <v>Food waste
(tons/yr)</v>
      </c>
      <c r="N4" s="921" t="s">
        <v>1494</v>
      </c>
      <c r="O4" s="921" t="s">
        <v>1498</v>
      </c>
      <c r="P4" s="921" t="s">
        <v>1497</v>
      </c>
      <c r="Q4" s="921" t="s">
        <v>1069</v>
      </c>
      <c r="R4" s="921" t="s">
        <v>1262</v>
      </c>
      <c r="S4" s="921" t="s">
        <v>1499</v>
      </c>
      <c r="T4" s="921" t="s">
        <v>1500</v>
      </c>
      <c r="U4" s="988" t="s">
        <v>1502</v>
      </c>
      <c r="V4" s="988" t="s">
        <v>1503</v>
      </c>
      <c r="W4" s="921" t="s">
        <v>1506</v>
      </c>
      <c r="X4" s="921" t="s">
        <v>1508</v>
      </c>
    </row>
    <row r="5" spans="2:24" x14ac:dyDescent="0.3">
      <c r="B5" s="784" t="s">
        <v>403</v>
      </c>
      <c r="C5" s="758">
        <f>IF('Bioenergy Calculator'!$H$75="No",'Biomass Data Assumptions'!J7,'Biomass Data Assumptions'!F7*'Biomass Data Assumptions'!$I$41)</f>
        <v>37581.618648000003</v>
      </c>
      <c r="D5" s="758">
        <f xml:space="preserve"> C5*113*6.25*0.2916239/1000</f>
        <v>7740.2868526500069</v>
      </c>
      <c r="E5" s="758">
        <f xml:space="preserve"> C5*113*(1/0.0283168)*0.03144075657*2.20462/2000</f>
        <v>5197.6434794661691</v>
      </c>
      <c r="F5" s="795">
        <f xml:space="preserve"> D5*(1137/2000)</f>
        <v>4400.3530757315293</v>
      </c>
      <c r="G5" s="795">
        <f>C5*0.28</f>
        <v>10522.853221440002</v>
      </c>
      <c r="H5" s="795">
        <f>G5*(2249/2000)</f>
        <v>11832.948447509283</v>
      </c>
      <c r="L5" s="784" t="s">
        <v>403</v>
      </c>
      <c r="M5" s="984">
        <f>C5</f>
        <v>37581.618648000003</v>
      </c>
      <c r="N5" s="944">
        <f t="shared" ref="N5:N25" si="0">M5*40/60</f>
        <v>25054.412432000001</v>
      </c>
      <c r="O5" s="987">
        <f t="shared" ref="O5:O25" si="1">(M5*0.9*7602)+(N5*0.9*3192)</f>
        <v>329102234.50053602</v>
      </c>
      <c r="P5" s="944">
        <f>O5*0.65</f>
        <v>213916452.42534843</v>
      </c>
      <c r="Q5" s="944">
        <f t="shared" ref="Q5:Q25" si="2">(M5*183+N5*90)*6.25*0.2916239/1000</f>
        <v>16645.041638884526</v>
      </c>
      <c r="R5" s="944">
        <f>(M5*183+N5*90)*(1/0.0283168)*0.03144075657*2.20462/2000</f>
        <v>11177.233323099814</v>
      </c>
      <c r="S5" s="985">
        <f>P5*0.0438/1000</f>
        <v>9369.5406162302606</v>
      </c>
      <c r="T5" s="944">
        <f>P5*0.000841*52.07/1000</f>
        <v>9367.5875590196174</v>
      </c>
      <c r="U5" s="944">
        <f>Q5*(1137/2000)</f>
        <v>9462.7061717058532</v>
      </c>
      <c r="V5" s="944">
        <f>Q5*1.125</f>
        <v>18725.671843745091</v>
      </c>
      <c r="W5" s="990">
        <f>Q5*3600</f>
        <v>59922149.899984293</v>
      </c>
      <c r="X5" s="990">
        <f>-W5*15.29/1000000</f>
        <v>-916.2096719707597</v>
      </c>
    </row>
    <row r="6" spans="2:24" x14ac:dyDescent="0.3">
      <c r="B6" s="784" t="s">
        <v>325</v>
      </c>
      <c r="C6" s="758">
        <f>IF('Bioenergy Calculator'!$H$75="No",'Biomass Data Assumptions'!J8,'Biomass Data Assumptions'!F8*'Biomass Data Assumptions'!$I$41)</f>
        <v>86443.549080000012</v>
      </c>
      <c r="D6" s="758">
        <f t="shared" ref="D6:D25" si="3" xml:space="preserve"> C6*113*6.25*0.2916239/1000</f>
        <v>17803.859719489152</v>
      </c>
      <c r="E6" s="758">
        <f t="shared" ref="E6:E25" si="4" xml:space="preserve"> C6*113*(1/0.0283168)*0.03144075657*2.20462/2000</f>
        <v>11955.385781167955</v>
      </c>
      <c r="F6" s="795">
        <f t="shared" ref="F6:F25" si="5" xml:space="preserve"> D6*(1137/2000)</f>
        <v>10121.494250529582</v>
      </c>
      <c r="G6" s="795">
        <f t="shared" ref="G6:G25" si="6">C6*0.28</f>
        <v>24204.193742400006</v>
      </c>
      <c r="H6" s="795">
        <f t="shared" ref="H6:H25" si="7">G6*(2249/2000)</f>
        <v>27217.615863328807</v>
      </c>
      <c r="L6" s="784" t="s">
        <v>325</v>
      </c>
      <c r="M6" s="984">
        <f t="shared" ref="M6:M25" si="8">C6</f>
        <v>86443.549080000012</v>
      </c>
      <c r="N6" s="944">
        <f t="shared" si="0"/>
        <v>57629.03272000001</v>
      </c>
      <c r="O6" s="986">
        <f t="shared" si="1"/>
        <v>756986159.29356015</v>
      </c>
      <c r="P6" s="944">
        <f t="shared" ref="P6:P25" si="9">O6*0.65</f>
        <v>492041003.5408141</v>
      </c>
      <c r="Q6" s="944">
        <f t="shared" si="2"/>
        <v>38286.17621093685</v>
      </c>
      <c r="R6" s="944">
        <f t="shared" ref="R6:R25" si="10">(M6*183+N6*90)*(1/0.0283168)*0.03144075657*2.20462/2000</f>
        <v>25709.369423219585</v>
      </c>
      <c r="S6" s="985">
        <f t="shared" ref="S6:S25" si="11">P6*0.0438/1000</f>
        <v>21551.395955087657</v>
      </c>
      <c r="T6" s="944">
        <f t="shared" ref="T6:T25" si="12">P6*0.000841*52.07/1000</f>
        <v>21546.90362072533</v>
      </c>
      <c r="U6" s="944">
        <f t="shared" ref="U6:U25" si="13">Q6*(1137/2000)</f>
        <v>21765.6911759176</v>
      </c>
      <c r="V6" s="944">
        <f t="shared" ref="V6:V23" si="14">Q6*1.125</f>
        <v>43071.948237303957</v>
      </c>
      <c r="W6" s="990">
        <f t="shared" ref="W6:W24" si="15">Q6*3600</f>
        <v>137830234.35937265</v>
      </c>
      <c r="X6" s="990">
        <f t="shared" ref="X6:X25" si="16">-W6*15.29/1000000</f>
        <v>-2107.4242833548078</v>
      </c>
    </row>
    <row r="7" spans="2:24" x14ac:dyDescent="0.3">
      <c r="B7" s="784" t="s">
        <v>328</v>
      </c>
      <c r="C7" s="758">
        <f>IF('Bioenergy Calculator'!$H$75="No",'Biomass Data Assumptions'!J9,'Biomass Data Assumptions'!F9*'Biomass Data Assumptions'!$I$41)</f>
        <v>42172.365913999995</v>
      </c>
      <c r="D7" s="758">
        <f t="shared" si="3"/>
        <v>8685.7943104228434</v>
      </c>
      <c r="E7" s="758">
        <f t="shared" si="4"/>
        <v>5832.5567283203882</v>
      </c>
      <c r="F7" s="795">
        <f t="shared" si="5"/>
        <v>4937.8740654753865</v>
      </c>
      <c r="G7" s="795">
        <f t="shared" si="6"/>
        <v>11808.262455919999</v>
      </c>
      <c r="H7" s="795">
        <f t="shared" si="7"/>
        <v>13278.391131682039</v>
      </c>
      <c r="L7" s="784" t="s">
        <v>328</v>
      </c>
      <c r="M7" s="984">
        <f t="shared" si="8"/>
        <v>42172.365913999995</v>
      </c>
      <c r="N7" s="944">
        <f t="shared" si="0"/>
        <v>28114.910609333328</v>
      </c>
      <c r="O7" s="986">
        <f t="shared" si="1"/>
        <v>369303408.30889797</v>
      </c>
      <c r="P7" s="944">
        <f t="shared" si="9"/>
        <v>240047215.40078369</v>
      </c>
      <c r="Q7" s="944">
        <f t="shared" si="2"/>
        <v>18678.301039227885</v>
      </c>
      <c r="R7" s="944">
        <f t="shared" si="10"/>
        <v>12542.577743202248</v>
      </c>
      <c r="S7" s="985">
        <f t="shared" si="11"/>
        <v>10514.068034554324</v>
      </c>
      <c r="T7" s="944">
        <f t="shared" si="12"/>
        <v>10511.876403477716</v>
      </c>
      <c r="U7" s="944">
        <f t="shared" si="13"/>
        <v>10618.614140801052</v>
      </c>
      <c r="V7" s="944">
        <f t="shared" si="14"/>
        <v>21013.088669131372</v>
      </c>
      <c r="W7" s="990">
        <f t="shared" si="15"/>
        <v>67241883.741220385</v>
      </c>
      <c r="X7" s="990">
        <f t="shared" si="16"/>
        <v>-1028.1284024032595</v>
      </c>
    </row>
    <row r="8" spans="2:24" x14ac:dyDescent="0.3">
      <c r="B8" s="784" t="s">
        <v>331</v>
      </c>
      <c r="C8" s="758">
        <f>IF('Bioenergy Calculator'!$H$75="No",'Biomass Data Assumptions'!J10,'Biomass Data Assumptions'!F10*'Biomass Data Assumptions'!$I$41)</f>
        <v>13388.749177999998</v>
      </c>
      <c r="D8" s="758">
        <f t="shared" si="3"/>
        <v>2757.5384713084209</v>
      </c>
      <c r="E8" s="758">
        <f t="shared" si="4"/>
        <v>1851.7016394381171</v>
      </c>
      <c r="F8" s="795">
        <f t="shared" si="5"/>
        <v>1567.6606209388374</v>
      </c>
      <c r="G8" s="795">
        <f t="shared" si="6"/>
        <v>3748.8497698399997</v>
      </c>
      <c r="H8" s="795">
        <f t="shared" si="7"/>
        <v>4215.5815661850802</v>
      </c>
      <c r="L8" s="784" t="s">
        <v>331</v>
      </c>
      <c r="M8" s="984">
        <f t="shared" si="8"/>
        <v>13388.749177999998</v>
      </c>
      <c r="N8" s="944">
        <f t="shared" si="0"/>
        <v>8925.8327853333321</v>
      </c>
      <c r="O8" s="986">
        <f t="shared" si="1"/>
        <v>117245276.55174598</v>
      </c>
      <c r="P8" s="944">
        <f t="shared" si="9"/>
        <v>76209429.758634895</v>
      </c>
      <c r="Q8" s="944">
        <f t="shared" si="2"/>
        <v>5929.9278630791696</v>
      </c>
      <c r="R8" s="944">
        <f t="shared" si="10"/>
        <v>3981.9778618005521</v>
      </c>
      <c r="S8" s="985">
        <f t="shared" si="11"/>
        <v>3337.9730234282083</v>
      </c>
      <c r="T8" s="944">
        <f t="shared" si="12"/>
        <v>3337.2772313345122</v>
      </c>
      <c r="U8" s="944">
        <f t="shared" si="13"/>
        <v>3371.1639901605081</v>
      </c>
      <c r="V8" s="944">
        <f t="shared" si="14"/>
        <v>6671.1688459640654</v>
      </c>
      <c r="W8" s="990">
        <f t="shared" si="15"/>
        <v>21347740.307085011</v>
      </c>
      <c r="X8" s="990">
        <f t="shared" si="16"/>
        <v>-326.40694929532981</v>
      </c>
    </row>
    <row r="9" spans="2:24" x14ac:dyDescent="0.3">
      <c r="B9" s="784" t="s">
        <v>333</v>
      </c>
      <c r="C9" s="758">
        <f>IF('Bioenergy Calculator'!$H$75="No",'Biomass Data Assumptions'!J11,'Biomass Data Assumptions'!F11*'Biomass Data Assumptions'!$I$41)</f>
        <v>14397.674424000003</v>
      </c>
      <c r="D9" s="758">
        <f t="shared" si="3"/>
        <v>2965.3360888103512</v>
      </c>
      <c r="E9" s="758">
        <f t="shared" si="4"/>
        <v>1991.2388364720666</v>
      </c>
      <c r="F9" s="795">
        <f t="shared" si="5"/>
        <v>1685.7935664886847</v>
      </c>
      <c r="G9" s="795">
        <f t="shared" si="6"/>
        <v>4031.3488387200009</v>
      </c>
      <c r="H9" s="795">
        <f t="shared" si="7"/>
        <v>4533.251769140641</v>
      </c>
      <c r="L9" s="784" t="s">
        <v>333</v>
      </c>
      <c r="M9" s="984">
        <f t="shared" si="8"/>
        <v>14397.674424000003</v>
      </c>
      <c r="N9" s="944">
        <f t="shared" si="0"/>
        <v>9598.4496160000017</v>
      </c>
      <c r="O9" s="986">
        <f t="shared" si="1"/>
        <v>126080434.93096802</v>
      </c>
      <c r="P9" s="944">
        <f t="shared" si="9"/>
        <v>81952282.705129206</v>
      </c>
      <c r="Q9" s="944">
        <f t="shared" si="2"/>
        <v>6376.7846865567735</v>
      </c>
      <c r="R9" s="944">
        <f t="shared" si="10"/>
        <v>4282.0445775461249</v>
      </c>
      <c r="S9" s="985">
        <f t="shared" si="11"/>
        <v>3589.5099824846593</v>
      </c>
      <c r="T9" s="944">
        <f t="shared" si="12"/>
        <v>3588.7617581435611</v>
      </c>
      <c r="U9" s="944">
        <f t="shared" si="13"/>
        <v>3625.2020943075258</v>
      </c>
      <c r="V9" s="944">
        <f t="shared" si="14"/>
        <v>7173.8827723763698</v>
      </c>
      <c r="W9" s="990">
        <f t="shared" si="15"/>
        <v>22956424.871604383</v>
      </c>
      <c r="X9" s="990">
        <f t="shared" si="16"/>
        <v>-351.00373628683104</v>
      </c>
    </row>
    <row r="10" spans="2:24" x14ac:dyDescent="0.3">
      <c r="B10" s="784" t="s">
        <v>335</v>
      </c>
      <c r="C10" s="758">
        <f>IF('Bioenergy Calculator'!$H$75="No",'Biomass Data Assumptions'!J12,'Biomass Data Assumptions'!F12*'Biomass Data Assumptions'!$I$41)</f>
        <v>18000.793328000003</v>
      </c>
      <c r="D10" s="758">
        <f t="shared" si="3"/>
        <v>3707.4322220925214</v>
      </c>
      <c r="E10" s="758">
        <f t="shared" si="4"/>
        <v>2489.5603072029057</v>
      </c>
      <c r="F10" s="795">
        <f t="shared" si="5"/>
        <v>2107.6752182595983</v>
      </c>
      <c r="G10" s="795">
        <f t="shared" si="6"/>
        <v>5040.2221318400016</v>
      </c>
      <c r="H10" s="795">
        <f t="shared" si="7"/>
        <v>5667.7297872540821</v>
      </c>
      <c r="L10" s="784" t="s">
        <v>335</v>
      </c>
      <c r="M10" s="984">
        <f t="shared" si="8"/>
        <v>18000.793328000003</v>
      </c>
      <c r="N10" s="944">
        <f t="shared" si="0"/>
        <v>12000.528885333335</v>
      </c>
      <c r="O10" s="986">
        <f t="shared" si="1"/>
        <v>157632947.17329603</v>
      </c>
      <c r="P10" s="944">
        <f t="shared" si="9"/>
        <v>102461415.66264242</v>
      </c>
      <c r="Q10" s="944">
        <f t="shared" si="2"/>
        <v>7972.6197342343603</v>
      </c>
      <c r="R10" s="944">
        <f t="shared" si="10"/>
        <v>5353.6562358434167</v>
      </c>
      <c r="S10" s="985">
        <f t="shared" si="11"/>
        <v>4487.8100060237375</v>
      </c>
      <c r="T10" s="944">
        <f t="shared" si="12"/>
        <v>4486.8745332987382</v>
      </c>
      <c r="U10" s="944">
        <f t="shared" si="13"/>
        <v>4532.4343189122337</v>
      </c>
      <c r="V10" s="944">
        <f t="shared" si="14"/>
        <v>8969.197201013656</v>
      </c>
      <c r="W10" s="990">
        <f t="shared" si="15"/>
        <v>28701431.043243699</v>
      </c>
      <c r="X10" s="990">
        <f t="shared" si="16"/>
        <v>-438.84488065119615</v>
      </c>
    </row>
    <row r="11" spans="2:24" x14ac:dyDescent="0.3">
      <c r="B11" s="784" t="s">
        <v>336</v>
      </c>
      <c r="C11" s="758">
        <f>IF('Bioenergy Calculator'!$H$75="No",'Biomass Data Assumptions'!J13,'Biomass Data Assumptions'!F13*'Biomass Data Assumptions'!$I$41)</f>
        <v>16021.374361999997</v>
      </c>
      <c r="D11" s="758">
        <f t="shared" si="3"/>
        <v>3299.7523203320561</v>
      </c>
      <c r="E11" s="758">
        <f t="shared" si="4"/>
        <v>2215.8011011898589</v>
      </c>
      <c r="F11" s="795">
        <f t="shared" si="5"/>
        <v>1875.9091941087738</v>
      </c>
      <c r="G11" s="795">
        <f t="shared" si="6"/>
        <v>4485.9848213599998</v>
      </c>
      <c r="H11" s="795">
        <f t="shared" si="7"/>
        <v>5044.4899316193205</v>
      </c>
      <c r="L11" s="784" t="s">
        <v>336</v>
      </c>
      <c r="M11" s="984">
        <f t="shared" si="8"/>
        <v>16021.374361999997</v>
      </c>
      <c r="N11" s="944">
        <f t="shared" si="0"/>
        <v>10680.916241333331</v>
      </c>
      <c r="O11" s="986">
        <f t="shared" si="1"/>
        <v>140299175.28803399</v>
      </c>
      <c r="P11" s="944">
        <f t="shared" si="9"/>
        <v>91194463.937222093</v>
      </c>
      <c r="Q11" s="944">
        <f t="shared" si="2"/>
        <v>7095.9275561122968</v>
      </c>
      <c r="R11" s="944">
        <f t="shared" si="10"/>
        <v>4764.9528105233248</v>
      </c>
      <c r="S11" s="985">
        <f t="shared" si="11"/>
        <v>3994.3175204503277</v>
      </c>
      <c r="T11" s="944">
        <f t="shared" si="12"/>
        <v>3993.4849149945803</v>
      </c>
      <c r="U11" s="944">
        <f t="shared" si="13"/>
        <v>4034.0348156498408</v>
      </c>
      <c r="V11" s="944">
        <f t="shared" si="14"/>
        <v>7982.9185006263342</v>
      </c>
      <c r="W11" s="990">
        <f t="shared" si="15"/>
        <v>25545339.202004269</v>
      </c>
      <c r="X11" s="990">
        <f t="shared" si="16"/>
        <v>-390.58823639864522</v>
      </c>
    </row>
    <row r="12" spans="2:24" x14ac:dyDescent="0.3">
      <c r="B12" s="784" t="s">
        <v>337</v>
      </c>
      <c r="C12" s="758">
        <f>IF('Bioenergy Calculator'!$H$75="No",'Biomass Data Assumptions'!J14,'Biomass Data Assumptions'!F14*'Biomass Data Assumptions'!$I$41)</f>
        <v>4014.9831120000008</v>
      </c>
      <c r="D12" s="758">
        <f t="shared" si="3"/>
        <v>826.92342994862622</v>
      </c>
      <c r="E12" s="758">
        <f t="shared" si="4"/>
        <v>555.28344821209976</v>
      </c>
      <c r="F12" s="795">
        <f t="shared" si="5"/>
        <v>470.105969925794</v>
      </c>
      <c r="G12" s="795">
        <f t="shared" si="6"/>
        <v>1124.1952713600003</v>
      </c>
      <c r="H12" s="795">
        <f t="shared" si="7"/>
        <v>1264.1575826443204</v>
      </c>
      <c r="L12" s="784" t="s">
        <v>337</v>
      </c>
      <c r="M12" s="984">
        <f t="shared" si="8"/>
        <v>4014.9831120000008</v>
      </c>
      <c r="N12" s="944">
        <f t="shared" si="0"/>
        <v>2676.6554080000005</v>
      </c>
      <c r="O12" s="986">
        <f t="shared" si="1"/>
        <v>35159207.111784011</v>
      </c>
      <c r="P12" s="944">
        <f t="shared" si="9"/>
        <v>22853484.622659609</v>
      </c>
      <c r="Q12" s="944">
        <f t="shared" si="2"/>
        <v>1778.2512697125326</v>
      </c>
      <c r="R12" s="944">
        <f t="shared" si="10"/>
        <v>1194.1051142968161</v>
      </c>
      <c r="S12" s="985">
        <f t="shared" si="11"/>
        <v>1000.9826264724909</v>
      </c>
      <c r="T12" s="944">
        <f t="shared" si="12"/>
        <v>1000.7739741578858</v>
      </c>
      <c r="U12" s="944">
        <f t="shared" si="13"/>
        <v>1010.9358468315747</v>
      </c>
      <c r="V12" s="944">
        <f t="shared" si="14"/>
        <v>2000.5326784265992</v>
      </c>
      <c r="W12" s="990">
        <f t="shared" si="15"/>
        <v>6401704.5709651168</v>
      </c>
      <c r="X12" s="990">
        <f t="shared" si="16"/>
        <v>-97.882062890056631</v>
      </c>
    </row>
    <row r="13" spans="2:24" x14ac:dyDescent="0.3">
      <c r="B13" s="784" t="s">
        <v>338</v>
      </c>
      <c r="C13" s="758">
        <f>IF('Bioenergy Calculator'!$H$75="No",'Biomass Data Assumptions'!J15,'Biomass Data Assumptions'!F15*'Biomass Data Assumptions'!$I$41)</f>
        <v>58367.326808000005</v>
      </c>
      <c r="D13" s="758">
        <f t="shared" si="3"/>
        <v>12021.29840515348</v>
      </c>
      <c r="E13" s="758">
        <f t="shared" si="4"/>
        <v>8072.3653347383661</v>
      </c>
      <c r="F13" s="795">
        <f t="shared" si="5"/>
        <v>6834.1081433297541</v>
      </c>
      <c r="G13" s="795">
        <f t="shared" si="6"/>
        <v>16342.851506240004</v>
      </c>
      <c r="H13" s="795">
        <f t="shared" si="7"/>
        <v>18377.536518766887</v>
      </c>
      <c r="L13" s="784" t="s">
        <v>338</v>
      </c>
      <c r="M13" s="984">
        <f t="shared" si="8"/>
        <v>58367.326808000005</v>
      </c>
      <c r="N13" s="944">
        <f t="shared" si="0"/>
        <v>38911.551205333337</v>
      </c>
      <c r="O13" s="986">
        <f t="shared" si="1"/>
        <v>511122680.85765606</v>
      </c>
      <c r="P13" s="944">
        <f t="shared" si="9"/>
        <v>332229742.55747646</v>
      </c>
      <c r="Q13" s="944">
        <f t="shared" si="2"/>
        <v>25851.110729666332</v>
      </c>
      <c r="R13" s="944">
        <f t="shared" si="10"/>
        <v>17359.157312755957</v>
      </c>
      <c r="S13" s="985">
        <f t="shared" si="11"/>
        <v>14551.662724017469</v>
      </c>
      <c r="T13" s="944">
        <f t="shared" si="12"/>
        <v>14548.629466467917</v>
      </c>
      <c r="U13" s="944">
        <f t="shared" si="13"/>
        <v>14696.35644981531</v>
      </c>
      <c r="V13" s="944">
        <f t="shared" si="14"/>
        <v>29082.499570874625</v>
      </c>
      <c r="W13" s="990">
        <f t="shared" si="15"/>
        <v>93063998.626798794</v>
      </c>
      <c r="X13" s="990">
        <f t="shared" si="16"/>
        <v>-1422.9485390037535</v>
      </c>
    </row>
    <row r="14" spans="2:24" x14ac:dyDescent="0.3">
      <c r="B14" s="784" t="s">
        <v>339</v>
      </c>
      <c r="C14" s="758">
        <f>IF('Bioenergy Calculator'!$H$75="No",'Biomass Data Assumptions'!J16,'Biomass Data Assumptions'!F16*'Biomass Data Assumptions'!$I$41)</f>
        <v>7762.3630140000014</v>
      </c>
      <c r="D14" s="758">
        <f t="shared" si="3"/>
        <v>1598.7314688468948</v>
      </c>
      <c r="E14" s="758">
        <f t="shared" si="4"/>
        <v>1073.5566204015424</v>
      </c>
      <c r="F14" s="795">
        <f t="shared" si="5"/>
        <v>908.87884003945976</v>
      </c>
      <c r="G14" s="795">
        <f t="shared" si="6"/>
        <v>2173.4616439200004</v>
      </c>
      <c r="H14" s="795">
        <f t="shared" si="7"/>
        <v>2444.0576185880404</v>
      </c>
      <c r="L14" s="784" t="s">
        <v>339</v>
      </c>
      <c r="M14" s="984">
        <f t="shared" si="8"/>
        <v>7762.3630140000014</v>
      </c>
      <c r="N14" s="944">
        <f t="shared" si="0"/>
        <v>5174.9086760000009</v>
      </c>
      <c r="O14" s="986">
        <f t="shared" si="1"/>
        <v>67975012.913598016</v>
      </c>
      <c r="P14" s="944">
        <f t="shared" si="9"/>
        <v>44183758.393838711</v>
      </c>
      <c r="Q14" s="944">
        <f t="shared" si="2"/>
        <v>3437.9800613256234</v>
      </c>
      <c r="R14" s="944">
        <f t="shared" si="10"/>
        <v>2308.6217589165908</v>
      </c>
      <c r="S14" s="985">
        <f t="shared" si="11"/>
        <v>1935.2486176501354</v>
      </c>
      <c r="T14" s="944">
        <f t="shared" si="12"/>
        <v>1934.8452199359999</v>
      </c>
      <c r="U14" s="944">
        <f t="shared" si="13"/>
        <v>1954.491664863617</v>
      </c>
      <c r="V14" s="944">
        <f t="shared" si="14"/>
        <v>3867.7275689913263</v>
      </c>
      <c r="W14" s="990">
        <f t="shared" si="15"/>
        <v>12376728.220772244</v>
      </c>
      <c r="X14" s="990">
        <f t="shared" si="16"/>
        <v>-189.24017449560762</v>
      </c>
    </row>
    <row r="15" spans="2:24" x14ac:dyDescent="0.3">
      <c r="B15" s="784" t="s">
        <v>340</v>
      </c>
      <c r="C15" s="758">
        <f>IF('Bioenergy Calculator'!$H$75="No",'Biomass Data Assumptions'!J17,'Biomass Data Assumptions'!F17*'Biomass Data Assumptions'!$I$41)</f>
        <v>37298.628905999998</v>
      </c>
      <c r="D15" s="758">
        <f t="shared" si="3"/>
        <v>7682.0024610181954</v>
      </c>
      <c r="E15" s="758">
        <f t="shared" si="4"/>
        <v>5158.5052028251657</v>
      </c>
      <c r="F15" s="795">
        <f t="shared" si="5"/>
        <v>4367.2183990888443</v>
      </c>
      <c r="G15" s="795">
        <f t="shared" si="6"/>
        <v>10443.616093680001</v>
      </c>
      <c r="H15" s="795">
        <f t="shared" si="7"/>
        <v>11743.846297343161</v>
      </c>
      <c r="L15" s="784" t="s">
        <v>340</v>
      </c>
      <c r="M15" s="984">
        <f t="shared" si="8"/>
        <v>37298.628905999998</v>
      </c>
      <c r="N15" s="944">
        <f t="shared" si="0"/>
        <v>24865.752603999998</v>
      </c>
      <c r="O15" s="986">
        <f t="shared" si="1"/>
        <v>326624093.32984197</v>
      </c>
      <c r="P15" s="944">
        <f t="shared" si="9"/>
        <v>212305660.6643973</v>
      </c>
      <c r="Q15" s="944">
        <f t="shared" si="2"/>
        <v>16519.704407322311</v>
      </c>
      <c r="R15" s="944">
        <f t="shared" si="10"/>
        <v>11093.068710500133</v>
      </c>
      <c r="S15" s="985">
        <f t="shared" si="11"/>
        <v>9298.9879371006027</v>
      </c>
      <c r="T15" s="944">
        <f t="shared" si="12"/>
        <v>9297.0495864187342</v>
      </c>
      <c r="U15" s="944">
        <f t="shared" si="13"/>
        <v>9391.4519555627339</v>
      </c>
      <c r="V15" s="944">
        <f t="shared" si="14"/>
        <v>18584.6674582376</v>
      </c>
      <c r="W15" s="990">
        <f t="shared" si="15"/>
        <v>59470935.866360322</v>
      </c>
      <c r="X15" s="990">
        <f t="shared" si="16"/>
        <v>-909.31060939664928</v>
      </c>
    </row>
    <row r="16" spans="2:24" x14ac:dyDescent="0.3">
      <c r="B16" s="784" t="s">
        <v>341</v>
      </c>
      <c r="C16" s="758">
        <f>IF('Bioenergy Calculator'!$H$75="No",'Biomass Data Assumptions'!J18,'Biomass Data Assumptions'!F18*'Biomass Data Assumptions'!$I$41)</f>
        <v>84580.071730000011</v>
      </c>
      <c r="D16" s="758">
        <f t="shared" si="3"/>
        <v>17420.059081003787</v>
      </c>
      <c r="E16" s="758">
        <f t="shared" si="4"/>
        <v>11697.66162649332</v>
      </c>
      <c r="F16" s="795">
        <f t="shared" si="5"/>
        <v>9903.3035875506521</v>
      </c>
      <c r="G16" s="795">
        <f t="shared" si="6"/>
        <v>23682.420084400004</v>
      </c>
      <c r="H16" s="795">
        <f t="shared" si="7"/>
        <v>26630.881384907807</v>
      </c>
      <c r="L16" s="784" t="s">
        <v>341</v>
      </c>
      <c r="M16" s="984">
        <f t="shared" si="8"/>
        <v>84580.071730000011</v>
      </c>
      <c r="N16" s="944">
        <f t="shared" si="0"/>
        <v>56386.714486666679</v>
      </c>
      <c r="O16" s="986">
        <f t="shared" si="1"/>
        <v>740667688.13961005</v>
      </c>
      <c r="P16" s="944">
        <f t="shared" si="9"/>
        <v>481433997.29074657</v>
      </c>
      <c r="Q16" s="944">
        <f t="shared" si="2"/>
        <v>37460.835014901953</v>
      </c>
      <c r="R16" s="944">
        <f t="shared" si="10"/>
        <v>25155.148453432539</v>
      </c>
      <c r="S16" s="985">
        <f t="shared" si="11"/>
        <v>21086.809081334701</v>
      </c>
      <c r="T16" s="944">
        <f t="shared" si="12"/>
        <v>21082.413588939431</v>
      </c>
      <c r="U16" s="944">
        <f t="shared" si="13"/>
        <v>21296.484705971761</v>
      </c>
      <c r="V16" s="944">
        <f t="shared" si="14"/>
        <v>42143.439391764696</v>
      </c>
      <c r="W16" s="990">
        <f t="shared" si="15"/>
        <v>134859006.05364704</v>
      </c>
      <c r="X16" s="990">
        <f t="shared" si="16"/>
        <v>-2061.9942025602631</v>
      </c>
    </row>
    <row r="17" spans="2:24" x14ac:dyDescent="0.3">
      <c r="B17" s="784" t="s">
        <v>342</v>
      </c>
      <c r="C17" s="758">
        <f>IF('Bioenergy Calculator'!$H$75="No",'Biomass Data Assumptions'!J19,'Biomass Data Assumptions'!F19*'Biomass Data Assumptions'!$I$41)</f>
        <v>67985.590974000006</v>
      </c>
      <c r="D17" s="758">
        <f t="shared" si="3"/>
        <v>14002.270123447644</v>
      </c>
      <c r="E17" s="758">
        <f t="shared" si="4"/>
        <v>9402.5983003387828</v>
      </c>
      <c r="F17" s="795">
        <f t="shared" si="5"/>
        <v>7960.2905651799856</v>
      </c>
      <c r="G17" s="795">
        <f t="shared" si="6"/>
        <v>19035.965472720003</v>
      </c>
      <c r="H17" s="795">
        <f t="shared" si="7"/>
        <v>21405.943174073644</v>
      </c>
      <c r="L17" s="784" t="s">
        <v>342</v>
      </c>
      <c r="M17" s="984">
        <f t="shared" si="8"/>
        <v>67985.590974000006</v>
      </c>
      <c r="N17" s="944">
        <f t="shared" si="0"/>
        <v>45323.727316000004</v>
      </c>
      <c r="O17" s="986">
        <f t="shared" si="1"/>
        <v>595349820.15931809</v>
      </c>
      <c r="P17" s="944">
        <f t="shared" si="9"/>
        <v>386977383.10355675</v>
      </c>
      <c r="Q17" s="944">
        <f t="shared" si="2"/>
        <v>30111.076460157317</v>
      </c>
      <c r="R17" s="944">
        <f t="shared" si="10"/>
        <v>20219.746787454198</v>
      </c>
      <c r="S17" s="985">
        <f t="shared" si="11"/>
        <v>16949.609379935788</v>
      </c>
      <c r="T17" s="944">
        <f t="shared" si="12"/>
        <v>16946.076276428048</v>
      </c>
      <c r="U17" s="944">
        <f t="shared" si="13"/>
        <v>17118.146967599434</v>
      </c>
      <c r="V17" s="944">
        <f t="shared" si="14"/>
        <v>33874.961017676978</v>
      </c>
      <c r="W17" s="990">
        <f t="shared" si="15"/>
        <v>108399875.25656635</v>
      </c>
      <c r="X17" s="990">
        <f t="shared" si="16"/>
        <v>-1657.4340926728992</v>
      </c>
    </row>
    <row r="18" spans="2:24" x14ac:dyDescent="0.3">
      <c r="B18" s="784" t="s">
        <v>343</v>
      </c>
      <c r="C18" s="758">
        <f>IF('Bioenergy Calculator'!$H$75="No",'Biomass Data Assumptions'!J20,'Biomass Data Assumptions'!F20*'Biomass Data Assumptions'!$I$41)</f>
        <v>44805.017992000001</v>
      </c>
      <c r="D18" s="758">
        <f t="shared" si="3"/>
        <v>9228.0136985180307</v>
      </c>
      <c r="E18" s="758">
        <f t="shared" si="4"/>
        <v>6196.6599095879146</v>
      </c>
      <c r="F18" s="795">
        <f t="shared" si="5"/>
        <v>5246.1257876075006</v>
      </c>
      <c r="G18" s="795">
        <f t="shared" si="6"/>
        <v>12545.405037760002</v>
      </c>
      <c r="H18" s="795">
        <f t="shared" si="7"/>
        <v>14107.307964961123</v>
      </c>
      <c r="L18" s="784" t="s">
        <v>343</v>
      </c>
      <c r="M18" s="984">
        <f t="shared" si="8"/>
        <v>44805.017992000001</v>
      </c>
      <c r="N18" s="944">
        <f t="shared" si="0"/>
        <v>29870.011994666667</v>
      </c>
      <c r="O18" s="986">
        <f t="shared" si="1"/>
        <v>392357542.55594403</v>
      </c>
      <c r="P18" s="944">
        <f t="shared" si="9"/>
        <v>255032402.66136363</v>
      </c>
      <c r="Q18" s="944">
        <f t="shared" si="2"/>
        <v>19844.312643715763</v>
      </c>
      <c r="R18" s="944">
        <f t="shared" si="10"/>
        <v>13325.560690529765</v>
      </c>
      <c r="S18" s="985">
        <f t="shared" si="11"/>
        <v>11170.419236567726</v>
      </c>
      <c r="T18" s="944">
        <f t="shared" si="12"/>
        <v>11168.090790731429</v>
      </c>
      <c r="U18" s="944">
        <f t="shared" si="13"/>
        <v>11281.49173795241</v>
      </c>
      <c r="V18" s="944">
        <f t="shared" si="14"/>
        <v>22324.851724180233</v>
      </c>
      <c r="W18" s="990">
        <f t="shared" si="15"/>
        <v>71439525.517376751</v>
      </c>
      <c r="X18" s="990">
        <f t="shared" si="16"/>
        <v>-1092.3103451606905</v>
      </c>
    </row>
    <row r="19" spans="2:24" x14ac:dyDescent="0.3">
      <c r="B19" s="784" t="s">
        <v>344</v>
      </c>
      <c r="C19" s="758">
        <f>IF('Bioenergy Calculator'!$H$75="No",'Biomass Data Assumptions'!J21,'Biomass Data Assumptions'!F21*'Biomass Data Assumptions'!$I$41)</f>
        <v>61948.433763999994</v>
      </c>
      <c r="D19" s="758">
        <f t="shared" si="3"/>
        <v>12758.860971286733</v>
      </c>
      <c r="E19" s="758">
        <f t="shared" si="4"/>
        <v>8567.6424911978011</v>
      </c>
      <c r="F19" s="795">
        <f t="shared" si="5"/>
        <v>7253.4124621765077</v>
      </c>
      <c r="G19" s="795">
        <f t="shared" si="6"/>
        <v>17345.56145392</v>
      </c>
      <c r="H19" s="795">
        <f t="shared" si="7"/>
        <v>19505.08385493304</v>
      </c>
      <c r="L19" s="784" t="s">
        <v>344</v>
      </c>
      <c r="M19" s="984">
        <f t="shared" si="8"/>
        <v>61948.433763999994</v>
      </c>
      <c r="N19" s="944">
        <f t="shared" si="0"/>
        <v>41298.955842666663</v>
      </c>
      <c r="O19" s="986">
        <f t="shared" si="1"/>
        <v>542482434.47134793</v>
      </c>
      <c r="P19" s="944">
        <f t="shared" si="9"/>
        <v>352613582.40637618</v>
      </c>
      <c r="Q19" s="944">
        <f t="shared" si="2"/>
        <v>27437.196601970583</v>
      </c>
      <c r="R19" s="944">
        <f t="shared" si="10"/>
        <v>18424.22234832801</v>
      </c>
      <c r="S19" s="985">
        <f t="shared" si="11"/>
        <v>15444.474909399276</v>
      </c>
      <c r="T19" s="944">
        <f t="shared" si="12"/>
        <v>15441.255547391904</v>
      </c>
      <c r="U19" s="944">
        <f t="shared" si="13"/>
        <v>15598.046268220276</v>
      </c>
      <c r="V19" s="944">
        <f t="shared" si="14"/>
        <v>30866.846177216907</v>
      </c>
      <c r="W19" s="990">
        <f t="shared" si="15"/>
        <v>98773907.767094105</v>
      </c>
      <c r="X19" s="990">
        <f t="shared" si="16"/>
        <v>-1510.2530497588687</v>
      </c>
    </row>
    <row r="20" spans="2:24" x14ac:dyDescent="0.3">
      <c r="B20" s="784" t="s">
        <v>345</v>
      </c>
      <c r="C20" s="758">
        <f>IF('Bioenergy Calculator'!$H$75="No",'Biomass Data Assumptions'!J22,'Biomass Data Assumptions'!F22*'Biomass Data Assumptions'!$I$41)</f>
        <v>53142.955320000001</v>
      </c>
      <c r="D20" s="758">
        <f t="shared" si="3"/>
        <v>10945.290095860553</v>
      </c>
      <c r="E20" s="758">
        <f t="shared" si="4"/>
        <v>7349.8200752260454</v>
      </c>
      <c r="F20" s="795">
        <f t="shared" si="5"/>
        <v>6222.397419496725</v>
      </c>
      <c r="G20" s="795">
        <f t="shared" si="6"/>
        <v>14880.027489600001</v>
      </c>
      <c r="H20" s="795">
        <f t="shared" si="7"/>
        <v>16732.590912055202</v>
      </c>
      <c r="L20" s="784" t="s">
        <v>345</v>
      </c>
      <c r="M20" s="984">
        <f t="shared" si="8"/>
        <v>53142.955320000001</v>
      </c>
      <c r="N20" s="944">
        <f t="shared" si="0"/>
        <v>35428.636879999998</v>
      </c>
      <c r="O20" s="986">
        <f t="shared" si="1"/>
        <v>465372859.73724008</v>
      </c>
      <c r="P20" s="944">
        <f t="shared" si="9"/>
        <v>302492358.82920605</v>
      </c>
      <c r="Q20" s="944">
        <f t="shared" si="2"/>
        <v>23537.216754815177</v>
      </c>
      <c r="R20" s="944">
        <f t="shared" si="10"/>
        <v>15805.365294512647</v>
      </c>
      <c r="S20" s="985">
        <f t="shared" si="11"/>
        <v>13249.165316719225</v>
      </c>
      <c r="T20" s="944">
        <f t="shared" si="12"/>
        <v>13246.403561483115</v>
      </c>
      <c r="U20" s="944">
        <f t="shared" si="13"/>
        <v>13380.907725112429</v>
      </c>
      <c r="V20" s="944">
        <f t="shared" si="14"/>
        <v>26479.368849167076</v>
      </c>
      <c r="W20" s="990">
        <f t="shared" si="15"/>
        <v>84733980.317334637</v>
      </c>
      <c r="X20" s="990">
        <f t="shared" si="16"/>
        <v>-1295.5825590520465</v>
      </c>
    </row>
    <row r="21" spans="2:24" x14ac:dyDescent="0.3">
      <c r="B21" s="784" t="s">
        <v>346</v>
      </c>
      <c r="C21" s="758">
        <f>IF('Bioenergy Calculator'!$H$75="No",'Biomass Data Assumptions'!J23,'Biomass Data Assumptions'!F23*'Biomass Data Assumptions'!$I$41)</f>
        <v>6334.3374920000015</v>
      </c>
      <c r="D21" s="758">
        <f t="shared" si="3"/>
        <v>1304.6162186041145</v>
      </c>
      <c r="E21" s="758">
        <f t="shared" si="4"/>
        <v>876.05667734548206</v>
      </c>
      <c r="F21" s="795">
        <f t="shared" si="5"/>
        <v>741.67432027643906</v>
      </c>
      <c r="G21" s="795">
        <f t="shared" si="6"/>
        <v>1773.6144977600006</v>
      </c>
      <c r="H21" s="795">
        <f t="shared" si="7"/>
        <v>1994.4295027311209</v>
      </c>
      <c r="L21" s="784" t="s">
        <v>346</v>
      </c>
      <c r="M21" s="984">
        <f t="shared" si="8"/>
        <v>6334.3374920000015</v>
      </c>
      <c r="N21" s="944">
        <f t="shared" si="0"/>
        <v>4222.891661333334</v>
      </c>
      <c r="O21" s="986">
        <f t="shared" si="1"/>
        <v>55469793.417444013</v>
      </c>
      <c r="P21" s="944">
        <f t="shared" si="9"/>
        <v>36055365.721338607</v>
      </c>
      <c r="Q21" s="944">
        <f t="shared" si="2"/>
        <v>2805.502133812387</v>
      </c>
      <c r="R21" s="944">
        <f t="shared" si="10"/>
        <v>1883.9094919907272</v>
      </c>
      <c r="S21" s="985">
        <f t="shared" si="11"/>
        <v>1579.2250185946309</v>
      </c>
      <c r="T21" s="944">
        <f t="shared" si="12"/>
        <v>1578.8958331055951</v>
      </c>
      <c r="U21" s="944">
        <f t="shared" si="13"/>
        <v>1594.927963072342</v>
      </c>
      <c r="V21" s="944">
        <f t="shared" si="14"/>
        <v>3156.1899005389355</v>
      </c>
      <c r="W21" s="990">
        <f t="shared" si="15"/>
        <v>10099807.681724593</v>
      </c>
      <c r="X21" s="990">
        <f t="shared" si="16"/>
        <v>-154.42605945356902</v>
      </c>
    </row>
    <row r="22" spans="2:24" x14ac:dyDescent="0.3">
      <c r="B22" s="784" t="s">
        <v>347</v>
      </c>
      <c r="C22" s="758">
        <f>IF('Bioenergy Calculator'!$H$75="No",'Biomass Data Assumptions'!J24,'Biomass Data Assumptions'!F24*'Biomass Data Assumptions'!$I$41)</f>
        <v>31571.004234</v>
      </c>
      <c r="D22" s="758">
        <f t="shared" si="3"/>
        <v>6502.3444382801372</v>
      </c>
      <c r="E22" s="758">
        <f t="shared" si="4"/>
        <v>4366.3586136086142</v>
      </c>
      <c r="F22" s="795">
        <f t="shared" si="5"/>
        <v>3696.5828131622579</v>
      </c>
      <c r="G22" s="795">
        <f t="shared" si="6"/>
        <v>8839.8811855200001</v>
      </c>
      <c r="H22" s="795">
        <f t="shared" si="7"/>
        <v>9940.4463931172413</v>
      </c>
      <c r="L22" s="784" t="s">
        <v>347</v>
      </c>
      <c r="M22" s="984">
        <f t="shared" si="8"/>
        <v>31571.004234</v>
      </c>
      <c r="N22" s="944">
        <f t="shared" si="0"/>
        <v>21047.336155999998</v>
      </c>
      <c r="O22" s="986">
        <f t="shared" si="1"/>
        <v>276467284.07713801</v>
      </c>
      <c r="P22" s="944">
        <f t="shared" si="9"/>
        <v>179703734.65013972</v>
      </c>
      <c r="Q22" s="944">
        <f t="shared" si="2"/>
        <v>13982.917685859058</v>
      </c>
      <c r="R22" s="944">
        <f t="shared" si="10"/>
        <v>9389.6030363441896</v>
      </c>
      <c r="S22" s="985">
        <f t="shared" si="11"/>
        <v>7871.0235776761192</v>
      </c>
      <c r="T22" s="944">
        <f t="shared" si="12"/>
        <v>7869.3828825787632</v>
      </c>
      <c r="U22" s="944">
        <f t="shared" si="13"/>
        <v>7949.2887044108747</v>
      </c>
      <c r="V22" s="944">
        <f t="shared" si="14"/>
        <v>15730.782396591439</v>
      </c>
      <c r="W22" s="990">
        <f t="shared" si="15"/>
        <v>50338503.66909261</v>
      </c>
      <c r="X22" s="990">
        <f t="shared" si="16"/>
        <v>-769.6757211004259</v>
      </c>
    </row>
    <row r="23" spans="2:24" x14ac:dyDescent="0.3">
      <c r="B23" s="784" t="s">
        <v>348</v>
      </c>
      <c r="C23" s="758">
        <f>IF('Bioenergy Calculator'!$H$75="No",'Biomass Data Assumptions'!J25,'Biomass Data Assumptions'!F25*'Biomass Data Assumptions'!$I$41)</f>
        <v>11913.24309</v>
      </c>
      <c r="D23" s="758">
        <f t="shared" si="3"/>
        <v>2453.6441531599071</v>
      </c>
      <c r="E23" s="758">
        <f t="shared" si="4"/>
        <v>1647.6350006635266</v>
      </c>
      <c r="F23" s="795">
        <f t="shared" si="5"/>
        <v>1394.8967010714073</v>
      </c>
      <c r="G23" s="795">
        <f t="shared" si="6"/>
        <v>3335.7080652000004</v>
      </c>
      <c r="H23" s="795">
        <f t="shared" si="7"/>
        <v>3751.0037193174007</v>
      </c>
      <c r="L23" s="784" t="s">
        <v>348</v>
      </c>
      <c r="M23" s="984">
        <f t="shared" si="8"/>
        <v>11913.24309</v>
      </c>
      <c r="N23" s="944">
        <f t="shared" si="0"/>
        <v>7942.1620600000006</v>
      </c>
      <c r="O23" s="986">
        <f t="shared" si="1"/>
        <v>104324269.73913001</v>
      </c>
      <c r="P23" s="944">
        <f t="shared" si="9"/>
        <v>67810775.330434501</v>
      </c>
      <c r="Q23" s="944">
        <f t="shared" si="2"/>
        <v>5276.420612547412</v>
      </c>
      <c r="R23" s="944">
        <f t="shared" si="10"/>
        <v>3543.1442934622746</v>
      </c>
      <c r="S23" s="985">
        <f t="shared" si="11"/>
        <v>2970.1119594730312</v>
      </c>
      <c r="T23" s="944">
        <f t="shared" si="12"/>
        <v>2969.4928470942646</v>
      </c>
      <c r="U23" s="944">
        <f t="shared" si="13"/>
        <v>2999.6451182332039</v>
      </c>
      <c r="V23" s="944">
        <f t="shared" si="14"/>
        <v>5935.973189115839</v>
      </c>
      <c r="W23" s="990">
        <f t="shared" si="15"/>
        <v>18995114.205170684</v>
      </c>
      <c r="X23" s="990">
        <f t="shared" si="16"/>
        <v>-290.43529619705976</v>
      </c>
    </row>
    <row r="24" spans="2:24" x14ac:dyDescent="0.3">
      <c r="B24" s="784" t="s">
        <v>349</v>
      </c>
      <c r="C24" s="758">
        <f>IF('Bioenergy Calculator'!$H$75="No",'Biomass Data Assumptions'!J26,'Biomass Data Assumptions'!F26*'Biomass Data Assumptions'!$I$41)</f>
        <v>4518.674509999998</v>
      </c>
      <c r="D24" s="758">
        <f t="shared" si="3"/>
        <v>930.66339767723184</v>
      </c>
      <c r="E24" s="758">
        <f t="shared" si="4"/>
        <v>624.94538414410101</v>
      </c>
      <c r="F24" s="795">
        <f t="shared" si="5"/>
        <v>529.08214157950636</v>
      </c>
      <c r="G24" s="795">
        <f t="shared" si="6"/>
        <v>1265.2288627999997</v>
      </c>
      <c r="H24" s="795">
        <f t="shared" si="7"/>
        <v>1422.7498562185997</v>
      </c>
      <c r="L24" s="784" t="s">
        <v>349</v>
      </c>
      <c r="M24" s="984">
        <f t="shared" si="8"/>
        <v>4518.674509999998</v>
      </c>
      <c r="N24" s="944">
        <f t="shared" si="0"/>
        <v>3012.4496733333317</v>
      </c>
      <c r="O24" s="986">
        <f t="shared" si="1"/>
        <v>39570032.684069984</v>
      </c>
      <c r="P24" s="944">
        <f t="shared" si="9"/>
        <v>25720521.244645491</v>
      </c>
      <c r="Q24" s="944">
        <f t="shared" si="2"/>
        <v>2001.338102969622</v>
      </c>
      <c r="R24" s="944">
        <f t="shared" si="10"/>
        <v>1343.9091004160757</v>
      </c>
      <c r="S24" s="985">
        <f t="shared" si="11"/>
        <v>1126.5588305154724</v>
      </c>
      <c r="T24" s="944">
        <f t="shared" si="12"/>
        <v>1126.3240021565089</v>
      </c>
      <c r="U24" s="944">
        <f t="shared" si="13"/>
        <v>1137.7607115382302</v>
      </c>
      <c r="V24" s="944">
        <f>Q24*1.125</f>
        <v>2251.5053658408247</v>
      </c>
      <c r="W24" s="990">
        <f t="shared" si="15"/>
        <v>7204817.1706906389</v>
      </c>
      <c r="X24" s="990">
        <f t="shared" si="16"/>
        <v>-110.16165453985987</v>
      </c>
    </row>
    <row r="25" spans="2:24" ht="15" thickBot="1" x14ac:dyDescent="0.35">
      <c r="B25" s="786" t="s">
        <v>350</v>
      </c>
      <c r="C25" s="787">
        <f>IF('Bioenergy Calculator'!$H$75="No",'Biomass Data Assumptions'!J27,'Biomass Data Assumptions'!F27*'Biomass Data Assumptions'!$I$41)</f>
        <v>2363.0571299999992</v>
      </c>
      <c r="D25" s="787">
        <f t="shared" si="3"/>
        <v>486.69377992246854</v>
      </c>
      <c r="E25" s="787">
        <f t="shared" si="4"/>
        <v>326.81744228183129</v>
      </c>
      <c r="F25" s="796">
        <f t="shared" si="5"/>
        <v>276.68541388592337</v>
      </c>
      <c r="G25" s="795">
        <f t="shared" si="6"/>
        <v>661.65599639999982</v>
      </c>
      <c r="H25" s="795">
        <f t="shared" si="7"/>
        <v>744.03216795179981</v>
      </c>
      <c r="L25" s="786" t="s">
        <v>350</v>
      </c>
      <c r="M25" s="984">
        <f t="shared" si="8"/>
        <v>2363.0571299999992</v>
      </c>
      <c r="N25" s="944">
        <f t="shared" si="0"/>
        <v>1575.3714199999995</v>
      </c>
      <c r="O25" s="986">
        <f t="shared" si="1"/>
        <v>20693291.287409995</v>
      </c>
      <c r="P25" s="944">
        <f t="shared" si="9"/>
        <v>13450639.336816497</v>
      </c>
      <c r="Q25" s="944">
        <f t="shared" si="2"/>
        <v>1046.6069780633616</v>
      </c>
      <c r="R25" s="944">
        <f t="shared" si="10"/>
        <v>702.80211039367259</v>
      </c>
      <c r="S25" s="985">
        <f t="shared" si="11"/>
        <v>589.13800295256249</v>
      </c>
      <c r="T25" s="944">
        <f t="shared" si="12"/>
        <v>589.01519861541749</v>
      </c>
      <c r="U25" s="944">
        <f t="shared" si="13"/>
        <v>594.99606702902111</v>
      </c>
      <c r="V25" s="944">
        <f>Q25*1.125</f>
        <v>1177.4328503212819</v>
      </c>
      <c r="W25" s="990">
        <f>Q25*3600</f>
        <v>3767785.1210281015</v>
      </c>
      <c r="X25" s="990">
        <f t="shared" si="16"/>
        <v>-57.609434500519669</v>
      </c>
    </row>
    <row r="26" spans="2:24" ht="15" thickTop="1" x14ac:dyDescent="0.3">
      <c r="B26" s="789" t="s">
        <v>351</v>
      </c>
      <c r="C26" s="790">
        <f>SUM(C5:C25)</f>
        <v>704611.81300999993</v>
      </c>
      <c r="D26" s="790">
        <f t="shared" ref="D26:F26" si="17">SUM(D5:D25)</f>
        <v>145121.41170783315</v>
      </c>
      <c r="E26" s="790">
        <f t="shared" si="17"/>
        <v>97449.794000322043</v>
      </c>
      <c r="F26" s="790">
        <f t="shared" si="17"/>
        <v>82501.522555903153</v>
      </c>
      <c r="G26" s="917">
        <f>SUM(G5:G25)</f>
        <v>197291.30764280003</v>
      </c>
      <c r="H26" s="917">
        <f>SUM(H5:H25)</f>
        <v>221854.07544432866</v>
      </c>
      <c r="L26" s="789" t="s">
        <v>351</v>
      </c>
      <c r="M26" s="984">
        <f>SUM(C5:C25)</f>
        <v>704611.81300999993</v>
      </c>
      <c r="N26" s="944">
        <f t="shared" ref="N26:S26" si="18">SUM(N5:N25)</f>
        <v>469741.20867333328</v>
      </c>
      <c r="O26" s="986">
        <f t="shared" si="18"/>
        <v>6170285646.5285702</v>
      </c>
      <c r="P26" s="944">
        <f t="shared" si="18"/>
        <v>4010685670.2435708</v>
      </c>
      <c r="Q26" s="944">
        <f t="shared" si="18"/>
        <v>312075.24818587134</v>
      </c>
      <c r="R26" s="944">
        <f t="shared" si="18"/>
        <v>209560.17647856867</v>
      </c>
      <c r="S26" s="985">
        <f t="shared" si="18"/>
        <v>175668.03235666844</v>
      </c>
      <c r="T26" s="944">
        <f t="shared" ref="T26:X26" si="19">SUM(T5:T25)</f>
        <v>175631.41479649904</v>
      </c>
      <c r="U26" s="944">
        <f t="shared" si="19"/>
        <v>177414.77859366778</v>
      </c>
      <c r="V26" s="944">
        <f t="shared" si="19"/>
        <v>351084.65420910518</v>
      </c>
      <c r="W26" s="993">
        <f t="shared" si="19"/>
        <v>1123470893.4691365</v>
      </c>
      <c r="X26" s="993">
        <f t="shared" si="19"/>
        <v>-17177.869961143097</v>
      </c>
    </row>
    <row r="27" spans="2:24" x14ac:dyDescent="0.3">
      <c r="S27" s="983" t="s">
        <v>154</v>
      </c>
    </row>
    <row r="28" spans="2:24" x14ac:dyDescent="0.3">
      <c r="B28" s="725" t="s">
        <v>1071</v>
      </c>
      <c r="C28" s="726"/>
      <c r="D28" s="726"/>
      <c r="E28" s="726"/>
      <c r="F28" s="726"/>
      <c r="G28" s="726"/>
      <c r="H28" s="726"/>
      <c r="I28" s="726"/>
      <c r="J28" s="726"/>
      <c r="K28" s="726"/>
      <c r="L28" s="726"/>
      <c r="M28" s="726"/>
      <c r="N28" s="726"/>
      <c r="O28" s="726"/>
    </row>
    <row r="29" spans="2:24" x14ac:dyDescent="0.3">
      <c r="B29" s="726" t="s">
        <v>1095</v>
      </c>
      <c r="C29" s="726"/>
      <c r="D29" s="726"/>
      <c r="E29" s="726"/>
      <c r="F29" s="726"/>
      <c r="G29" s="726"/>
      <c r="H29" s="726"/>
      <c r="I29" s="726"/>
      <c r="J29" s="726"/>
      <c r="K29" s="726"/>
      <c r="L29" s="726" t="s">
        <v>1493</v>
      </c>
      <c r="M29" s="726"/>
      <c r="N29" s="726"/>
      <c r="O29" s="726"/>
      <c r="P29" s="944" t="e">
        <f>#REF!*0.9*3192</f>
        <v>#REF!</v>
      </c>
    </row>
    <row r="30" spans="2:24" x14ac:dyDescent="0.3">
      <c r="B30" s="726" t="s">
        <v>1263</v>
      </c>
      <c r="C30" s="726"/>
      <c r="D30" s="726"/>
      <c r="E30" s="726"/>
      <c r="F30" s="726"/>
      <c r="G30" s="726"/>
      <c r="H30" s="726"/>
      <c r="I30" s="726"/>
      <c r="J30" s="726"/>
      <c r="K30" s="726"/>
      <c r="L30" s="726" t="s">
        <v>1495</v>
      </c>
      <c r="M30" s="726"/>
      <c r="N30" s="726"/>
      <c r="O30" s="726"/>
    </row>
    <row r="31" spans="2:24" x14ac:dyDescent="0.3">
      <c r="B31" s="726" t="s">
        <v>1264</v>
      </c>
      <c r="C31" s="726"/>
      <c r="D31" s="726"/>
      <c r="E31" s="726"/>
      <c r="F31" s="726"/>
      <c r="G31" s="726"/>
      <c r="H31" s="726"/>
      <c r="I31" s="726"/>
      <c r="J31" s="726"/>
      <c r="K31" s="726"/>
      <c r="L31" s="726" t="s">
        <v>1496</v>
      </c>
      <c r="M31" s="726"/>
      <c r="N31" s="726"/>
      <c r="O31" s="726"/>
      <c r="T31" s="988" t="s">
        <v>1505</v>
      </c>
    </row>
    <row r="32" spans="2:24" x14ac:dyDescent="0.3">
      <c r="B32" s="726" t="s">
        <v>1265</v>
      </c>
      <c r="C32" s="726"/>
      <c r="D32" s="726"/>
      <c r="E32" s="726"/>
      <c r="F32" s="726"/>
      <c r="G32" s="726"/>
      <c r="H32" s="726"/>
      <c r="I32" s="726"/>
      <c r="J32" s="726"/>
      <c r="K32" s="726"/>
      <c r="L32" s="726"/>
      <c r="M32" s="726"/>
      <c r="N32" s="726"/>
      <c r="O32" s="726"/>
      <c r="T32" s="988" t="s">
        <v>1507</v>
      </c>
    </row>
    <row r="33" spans="2:23" x14ac:dyDescent="0.3">
      <c r="B33" s="726" t="s">
        <v>1097</v>
      </c>
      <c r="C33" s="726"/>
      <c r="D33" s="726"/>
      <c r="E33" s="726"/>
      <c r="F33" s="726"/>
      <c r="G33" s="726"/>
      <c r="H33" s="726"/>
      <c r="I33" s="726"/>
      <c r="J33" s="726"/>
      <c r="K33" s="726"/>
      <c r="L33" s="725" t="s">
        <v>1071</v>
      </c>
      <c r="M33" s="726"/>
      <c r="N33" s="726"/>
      <c r="O33" s="726"/>
      <c r="W33" s="984">
        <f xml:space="preserve"> M26+N26</f>
        <v>1174353.0216833332</v>
      </c>
    </row>
    <row r="34" spans="2:23" x14ac:dyDescent="0.3">
      <c r="B34" s="726"/>
      <c r="C34" s="726"/>
      <c r="D34" s="726"/>
      <c r="E34" s="726"/>
      <c r="F34" s="726"/>
      <c r="G34" s="726"/>
      <c r="H34" s="726"/>
      <c r="I34" s="726"/>
      <c r="J34" s="726"/>
      <c r="K34" s="726"/>
      <c r="L34" s="726" t="s">
        <v>1095</v>
      </c>
      <c r="M34" s="726"/>
      <c r="N34" s="726"/>
      <c r="O34" s="726"/>
    </row>
    <row r="35" spans="2:23" ht="15" x14ac:dyDescent="0.35">
      <c r="B35" s="725" t="s">
        <v>1266</v>
      </c>
      <c r="C35" s="726"/>
      <c r="D35" s="726"/>
      <c r="E35" s="726"/>
      <c r="F35" s="726"/>
      <c r="G35" s="726"/>
      <c r="H35" s="726"/>
      <c r="I35" s="726"/>
      <c r="J35" s="726"/>
      <c r="K35" s="726"/>
      <c r="L35" s="726"/>
      <c r="M35" s="726"/>
      <c r="N35" s="726"/>
      <c r="O35" s="726"/>
    </row>
    <row r="36" spans="2:23" x14ac:dyDescent="0.3">
      <c r="B36" s="726" t="s">
        <v>1124</v>
      </c>
      <c r="C36" s="726"/>
      <c r="D36" s="726"/>
      <c r="E36" s="726"/>
      <c r="F36" s="726"/>
      <c r="G36" s="726"/>
      <c r="H36" s="726"/>
      <c r="I36" s="726"/>
      <c r="J36" s="726"/>
      <c r="K36" s="726"/>
      <c r="L36" s="726" t="s">
        <v>1264</v>
      </c>
      <c r="M36" s="726"/>
      <c r="N36" s="726"/>
      <c r="O36" s="726"/>
    </row>
    <row r="37" spans="2:23" x14ac:dyDescent="0.3">
      <c r="B37" s="726" t="s">
        <v>1267</v>
      </c>
      <c r="C37" s="726"/>
      <c r="D37" s="726"/>
      <c r="E37" s="726"/>
      <c r="F37" s="726"/>
      <c r="G37" s="726"/>
      <c r="H37" s="726"/>
      <c r="I37" s="726"/>
      <c r="J37" s="726"/>
      <c r="K37" s="726"/>
      <c r="L37" s="726" t="s">
        <v>1265</v>
      </c>
      <c r="M37" s="726"/>
      <c r="N37" s="726"/>
      <c r="O37" s="726"/>
    </row>
    <row r="38" spans="2:23" x14ac:dyDescent="0.3">
      <c r="B38" s="726" t="s">
        <v>1126</v>
      </c>
      <c r="C38" s="726"/>
      <c r="D38" s="726"/>
      <c r="E38" s="726"/>
      <c r="F38" s="726"/>
      <c r="G38" s="726"/>
      <c r="H38" s="726"/>
      <c r="I38" s="726"/>
      <c r="J38" s="726"/>
      <c r="K38" s="726"/>
      <c r="L38" s="726" t="s">
        <v>1097</v>
      </c>
      <c r="M38" s="726"/>
      <c r="N38" s="726"/>
      <c r="O38" s="726"/>
    </row>
    <row r="39" spans="2:23" ht="15" x14ac:dyDescent="0.35">
      <c r="B39" s="726" t="s">
        <v>1268</v>
      </c>
      <c r="C39" s="726"/>
      <c r="D39" s="726"/>
      <c r="E39" s="726"/>
      <c r="F39" s="726"/>
      <c r="G39" s="726"/>
      <c r="H39" s="726"/>
      <c r="I39" s="726"/>
      <c r="J39" s="726"/>
      <c r="K39" s="726"/>
      <c r="L39" s="726"/>
      <c r="M39" s="726"/>
      <c r="N39" s="726"/>
      <c r="O39" s="726"/>
    </row>
    <row r="40" spans="2:23" x14ac:dyDescent="0.3">
      <c r="B40" s="726" t="s">
        <v>1077</v>
      </c>
      <c r="C40" s="726"/>
      <c r="D40" s="726"/>
      <c r="E40" s="726"/>
      <c r="F40" s="726"/>
      <c r="G40" s="726"/>
      <c r="H40" s="726"/>
      <c r="I40" s="726"/>
      <c r="J40" s="726"/>
      <c r="K40" s="726"/>
      <c r="L40" s="726" t="s">
        <v>1501</v>
      </c>
      <c r="M40" s="726"/>
      <c r="N40" s="726"/>
      <c r="O40" s="726"/>
    </row>
    <row r="41" spans="2:23" x14ac:dyDescent="0.3">
      <c r="B41" s="726" t="s">
        <v>1075</v>
      </c>
      <c r="C41" s="726"/>
      <c r="D41" s="726"/>
      <c r="E41" s="726"/>
      <c r="F41" s="726"/>
      <c r="G41" s="726"/>
      <c r="H41" s="726"/>
      <c r="I41" s="726"/>
      <c r="J41" s="726"/>
      <c r="K41" s="726"/>
      <c r="L41" s="726" t="s">
        <v>1509</v>
      </c>
      <c r="M41" s="726"/>
      <c r="N41" s="726"/>
      <c r="O41" s="726"/>
    </row>
    <row r="42" spans="2:23" x14ac:dyDescent="0.3">
      <c r="B42" s="726"/>
      <c r="C42" s="726"/>
      <c r="D42" s="726"/>
      <c r="E42" s="726"/>
      <c r="F42" s="726"/>
      <c r="G42" s="726"/>
      <c r="H42" s="726"/>
      <c r="I42" s="726"/>
      <c r="J42" s="726"/>
      <c r="K42" s="726"/>
      <c r="L42" s="726"/>
      <c r="M42" s="726" t="s">
        <v>1510</v>
      </c>
      <c r="N42" s="726"/>
      <c r="O42" s="726"/>
    </row>
    <row r="43" spans="2:23" ht="15" x14ac:dyDescent="0.35">
      <c r="B43" s="726" t="s">
        <v>1269</v>
      </c>
      <c r="C43" s="726"/>
      <c r="D43" s="726"/>
      <c r="E43" s="726"/>
      <c r="F43" s="726"/>
      <c r="G43" s="726"/>
      <c r="H43" s="726"/>
      <c r="I43" s="726"/>
      <c r="J43" s="726"/>
      <c r="K43" s="726"/>
      <c r="L43" s="726"/>
      <c r="M43" s="726"/>
      <c r="N43" s="726"/>
      <c r="O43" s="726"/>
    </row>
    <row r="44" spans="2:23" ht="15" x14ac:dyDescent="0.35">
      <c r="B44" s="728" t="s">
        <v>1080</v>
      </c>
      <c r="C44" s="729" t="s">
        <v>1270</v>
      </c>
      <c r="D44" s="729"/>
      <c r="E44" s="729"/>
      <c r="F44" s="729"/>
      <c r="G44" s="729"/>
      <c r="H44" s="729"/>
      <c r="I44" s="729"/>
      <c r="J44" s="729"/>
      <c r="K44" s="729"/>
      <c r="L44" s="729"/>
      <c r="M44" s="729"/>
      <c r="N44" s="729"/>
      <c r="O44" s="730"/>
    </row>
    <row r="45" spans="2:23" x14ac:dyDescent="0.3">
      <c r="B45" s="736"/>
      <c r="C45" s="737"/>
      <c r="D45" s="737"/>
      <c r="E45" s="737"/>
      <c r="F45" s="737"/>
      <c r="G45" s="737"/>
      <c r="H45" s="737"/>
      <c r="I45" s="737"/>
      <c r="J45" s="737"/>
      <c r="K45" s="737"/>
      <c r="L45" s="737"/>
      <c r="M45" s="737"/>
      <c r="N45" s="737"/>
      <c r="O45" s="798"/>
    </row>
    <row r="46" spans="2:23" x14ac:dyDescent="0.3">
      <c r="B46" s="736" t="s">
        <v>1081</v>
      </c>
      <c r="C46" s="737"/>
      <c r="D46" s="737"/>
      <c r="E46" s="737"/>
      <c r="F46" s="737"/>
      <c r="G46" s="737"/>
      <c r="H46" s="737"/>
      <c r="I46" s="737"/>
      <c r="J46" s="737"/>
      <c r="K46" s="737"/>
      <c r="L46" s="737"/>
      <c r="M46" s="737"/>
      <c r="N46" s="737"/>
      <c r="O46" s="798"/>
    </row>
    <row r="47" spans="2:23" x14ac:dyDescent="0.3">
      <c r="B47" s="736"/>
      <c r="C47" s="737" t="s">
        <v>1127</v>
      </c>
      <c r="D47" s="737"/>
      <c r="E47" s="737"/>
      <c r="F47" s="737"/>
      <c r="G47" s="737"/>
      <c r="H47" s="737"/>
      <c r="I47" s="737"/>
      <c r="J47" s="737"/>
      <c r="K47" s="737"/>
      <c r="L47" s="737"/>
      <c r="M47" s="737"/>
      <c r="N47" s="737"/>
      <c r="O47" s="798"/>
    </row>
    <row r="48" spans="2:23" x14ac:dyDescent="0.3">
      <c r="B48" s="736" t="s">
        <v>1083</v>
      </c>
      <c r="C48" s="737"/>
      <c r="D48" s="737"/>
      <c r="E48" s="737"/>
      <c r="F48" s="737"/>
      <c r="G48" s="737"/>
      <c r="H48" s="737"/>
      <c r="I48" s="737"/>
      <c r="J48" s="737"/>
      <c r="K48" s="737"/>
      <c r="L48" s="737"/>
      <c r="M48" s="737"/>
      <c r="N48" s="737"/>
      <c r="O48" s="798"/>
    </row>
    <row r="49" spans="2:15" x14ac:dyDescent="0.3">
      <c r="B49" s="736"/>
      <c r="C49" s="737" t="s">
        <v>1128</v>
      </c>
      <c r="D49" s="737"/>
      <c r="E49" s="737"/>
      <c r="F49" s="737"/>
      <c r="G49" s="737"/>
      <c r="H49" s="737"/>
      <c r="I49" s="737"/>
      <c r="J49" s="737"/>
      <c r="K49" s="737"/>
      <c r="L49" s="737"/>
      <c r="M49" s="737"/>
      <c r="N49" s="737"/>
      <c r="O49" s="798"/>
    </row>
    <row r="50" spans="2:15" ht="15" x14ac:dyDescent="0.35">
      <c r="B50" s="736" t="s">
        <v>1234</v>
      </c>
      <c r="C50" s="737"/>
      <c r="D50" s="737"/>
      <c r="E50" s="737"/>
      <c r="F50" s="737"/>
      <c r="G50" s="737"/>
      <c r="H50" s="737"/>
      <c r="I50" s="737"/>
      <c r="J50" s="737"/>
      <c r="K50" s="737"/>
      <c r="L50" s="737"/>
      <c r="M50" s="737"/>
      <c r="N50" s="737"/>
      <c r="O50" s="798"/>
    </row>
    <row r="51" spans="2:15" ht="15" x14ac:dyDescent="0.35">
      <c r="B51" s="736"/>
      <c r="C51" s="737" t="s">
        <v>1271</v>
      </c>
      <c r="D51" s="737"/>
      <c r="E51" s="737"/>
      <c r="F51" s="737"/>
      <c r="G51" s="737"/>
      <c r="H51" s="737"/>
      <c r="I51" s="737"/>
      <c r="J51" s="737"/>
      <c r="K51" s="737"/>
      <c r="L51" s="737"/>
      <c r="M51" s="737"/>
      <c r="N51" s="737"/>
      <c r="O51" s="798"/>
    </row>
    <row r="52" spans="2:15" ht="15" x14ac:dyDescent="0.35">
      <c r="B52" s="738" t="s">
        <v>1236</v>
      </c>
      <c r="C52" s="791"/>
      <c r="D52" s="791"/>
      <c r="E52" s="791"/>
      <c r="F52" s="791"/>
      <c r="G52" s="791"/>
      <c r="H52" s="791"/>
      <c r="I52" s="791"/>
      <c r="J52" s="791"/>
      <c r="K52" s="791"/>
      <c r="L52" s="791"/>
      <c r="M52" s="791"/>
      <c r="N52" s="791"/>
      <c r="O52" s="799"/>
    </row>
    <row r="53" spans="2:15" x14ac:dyDescent="0.3">
      <c r="B53" s="726"/>
      <c r="C53" s="726"/>
      <c r="D53" s="726"/>
      <c r="E53" s="726"/>
      <c r="F53" s="726"/>
      <c r="G53" s="726"/>
      <c r="H53" s="726"/>
      <c r="I53" s="726"/>
      <c r="J53" s="726"/>
      <c r="K53" s="726"/>
      <c r="L53" s="726"/>
      <c r="M53" s="726"/>
      <c r="N53" s="726"/>
      <c r="O53" s="726"/>
    </row>
    <row r="54" spans="2:15" x14ac:dyDescent="0.3">
      <c r="B54" s="726" t="s">
        <v>1085</v>
      </c>
      <c r="C54" s="726"/>
      <c r="D54" s="726"/>
      <c r="E54" s="726"/>
      <c r="F54" s="726"/>
      <c r="G54" s="726"/>
      <c r="H54" s="726"/>
      <c r="I54" s="726"/>
      <c r="J54" s="726"/>
      <c r="K54" s="726"/>
      <c r="L54" s="726"/>
      <c r="M54" s="726"/>
      <c r="N54" s="726"/>
      <c r="O54" s="726"/>
    </row>
    <row r="55" spans="2:15" x14ac:dyDescent="0.3">
      <c r="B55" s="726" t="s">
        <v>1272</v>
      </c>
      <c r="C55" s="726"/>
      <c r="D55" s="726"/>
      <c r="E55" s="726"/>
      <c r="F55" s="726"/>
      <c r="G55" s="726"/>
      <c r="H55" s="726"/>
      <c r="I55" s="726"/>
      <c r="J55" s="726"/>
      <c r="K55" s="726"/>
      <c r="L55" s="726"/>
      <c r="M55" s="726"/>
      <c r="N55" s="726"/>
      <c r="O55" s="726"/>
    </row>
    <row r="56" spans="2:15" x14ac:dyDescent="0.3">
      <c r="B56" s="797" t="s">
        <v>1273</v>
      </c>
      <c r="C56" s="726"/>
      <c r="D56" s="726"/>
      <c r="E56" s="726"/>
      <c r="F56" s="726"/>
      <c r="G56" s="726"/>
      <c r="H56" s="726"/>
      <c r="I56" s="726"/>
      <c r="J56" s="726"/>
      <c r="K56" s="726"/>
      <c r="L56" s="726"/>
      <c r="M56" s="726"/>
      <c r="N56" s="726"/>
      <c r="O56" s="726"/>
    </row>
    <row r="57" spans="2:15" x14ac:dyDescent="0.3">
      <c r="B57" s="797" t="s">
        <v>1274</v>
      </c>
      <c r="C57" s="726"/>
      <c r="D57" s="726"/>
      <c r="E57" s="726"/>
      <c r="F57" s="726"/>
      <c r="G57" s="726"/>
      <c r="H57" s="726"/>
      <c r="I57" s="726"/>
      <c r="J57" s="726"/>
      <c r="K57" s="726"/>
      <c r="L57" s="726"/>
      <c r="M57" s="726"/>
      <c r="N57" s="726"/>
      <c r="O57" s="726"/>
    </row>
    <row r="58" spans="2:15" x14ac:dyDescent="0.3">
      <c r="B58" s="797" t="s">
        <v>1257</v>
      </c>
      <c r="C58" s="726"/>
      <c r="D58" s="726"/>
      <c r="E58" s="726"/>
      <c r="F58" s="726"/>
      <c r="G58" s="726"/>
      <c r="H58" s="726"/>
      <c r="I58" s="726"/>
      <c r="J58" s="726"/>
      <c r="K58" s="726"/>
      <c r="L58" s="726"/>
      <c r="M58" s="726"/>
      <c r="N58" s="726"/>
      <c r="O58" s="726"/>
    </row>
    <row r="59" spans="2:15" x14ac:dyDescent="0.3">
      <c r="B59" s="797" t="s">
        <v>1258</v>
      </c>
      <c r="C59" s="726"/>
      <c r="D59" s="726"/>
      <c r="E59" s="726"/>
      <c r="F59" s="726"/>
      <c r="G59" s="726"/>
      <c r="H59" s="726"/>
      <c r="I59" s="726"/>
      <c r="J59" s="726"/>
      <c r="K59" s="726"/>
      <c r="L59" s="726"/>
      <c r="M59" s="726"/>
      <c r="N59" s="726"/>
      <c r="O59" s="726"/>
    </row>
    <row r="60" spans="2:15" x14ac:dyDescent="0.3">
      <c r="B60" s="658"/>
    </row>
    <row r="61" spans="2:15" x14ac:dyDescent="0.3">
      <c r="B61" s="658"/>
    </row>
    <row r="62" spans="2:15" x14ac:dyDescent="0.3">
      <c r="B62" s="658"/>
    </row>
    <row r="63" spans="2:15" x14ac:dyDescent="0.3">
      <c r="B63" s="658"/>
    </row>
  </sheetData>
  <pageMargins left="0.7" right="0.7" top="0.75" bottom="0.75" header="0.3" footer="0.3"/>
  <pageSetup orientation="portrait" verticalDpi="0"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69"/>
  <sheetViews>
    <sheetView topLeftCell="U1" workbookViewId="0">
      <selection activeCell="Z26" sqref="Z26"/>
    </sheetView>
  </sheetViews>
  <sheetFormatPr defaultColWidth="9.109375" defaultRowHeight="14.4" x14ac:dyDescent="0.3"/>
  <cols>
    <col min="1" max="1" width="9.109375" style="650"/>
    <col min="2" max="2" width="15.6640625" style="650" customWidth="1"/>
    <col min="3" max="3" width="13.6640625" style="650" customWidth="1"/>
    <col min="4" max="5" width="18.6640625" style="650" customWidth="1"/>
    <col min="6" max="6" width="22.33203125" style="650" customWidth="1"/>
    <col min="7" max="7" width="27.33203125" style="650" customWidth="1"/>
    <col min="8" max="8" width="20.6640625" style="650" customWidth="1"/>
    <col min="9" max="10" width="28" style="650" customWidth="1"/>
    <col min="11" max="13" width="9.109375" style="650"/>
    <col min="14" max="14" width="15.109375" style="650" customWidth="1"/>
    <col min="15" max="15" width="14.5546875" style="650" customWidth="1"/>
    <col min="16" max="16" width="15.109375" style="650" customWidth="1"/>
    <col min="17" max="17" width="15" style="650" customWidth="1"/>
    <col min="18" max="18" width="14.5546875" style="650" customWidth="1"/>
    <col min="19" max="19" width="15.44140625" style="650" customWidth="1"/>
    <col min="20" max="20" width="16.44140625" style="650" customWidth="1"/>
    <col min="21" max="21" width="14.33203125" style="650" customWidth="1"/>
    <col min="22" max="22" width="12.88671875" style="650" customWidth="1"/>
    <col min="23" max="23" width="18.5546875" style="650" customWidth="1"/>
    <col min="24" max="24" width="14.6640625" style="650" customWidth="1"/>
    <col min="25" max="25" width="15.44140625" style="650" customWidth="1"/>
    <col min="26" max="26" width="15.33203125" style="650" customWidth="1"/>
    <col min="27" max="27" width="20.88671875" style="650" customWidth="1"/>
    <col min="28" max="28" width="19.5546875" style="650" customWidth="1"/>
    <col min="29" max="29" width="17.5546875" style="650" customWidth="1"/>
    <col min="30" max="30" width="17.44140625" style="650" customWidth="1"/>
    <col min="31" max="16384" width="9.109375" style="650"/>
  </cols>
  <sheetData>
    <row r="1" spans="2:30" x14ac:dyDescent="0.3">
      <c r="B1" s="741" t="s">
        <v>1125</v>
      </c>
      <c r="C1" s="724"/>
      <c r="D1" s="724"/>
      <c r="E1" s="724"/>
      <c r="F1" s="724"/>
      <c r="G1" s="724"/>
      <c r="H1" s="724"/>
      <c r="I1" s="724"/>
      <c r="J1" s="724"/>
    </row>
    <row r="2" spans="2:30" x14ac:dyDescent="0.3">
      <c r="B2" s="774" t="s">
        <v>1098</v>
      </c>
      <c r="C2" s="774"/>
      <c r="D2" s="774"/>
      <c r="E2" s="782"/>
      <c r="F2" s="724"/>
      <c r="G2" s="724"/>
      <c r="H2" s="724"/>
      <c r="I2" s="724"/>
      <c r="J2" s="724"/>
    </row>
    <row r="3" spans="2:30" x14ac:dyDescent="0.3">
      <c r="B3" s="724"/>
      <c r="C3" s="724"/>
      <c r="D3" s="724"/>
      <c r="E3" s="724"/>
      <c r="F3" s="724"/>
      <c r="G3" s="724"/>
      <c r="H3" s="724"/>
      <c r="I3" s="724"/>
      <c r="J3" s="724"/>
    </row>
    <row r="4" spans="2:30" ht="83.25" customHeight="1" x14ac:dyDescent="0.3">
      <c r="B4" s="943" t="s">
        <v>322</v>
      </c>
      <c r="C4" s="745" t="str">
        <f>IF('Bioenergy Calculator'!H75="No","Food waste, Landfilled
(tons/yr)","Food waste
(tons/yr)")</f>
        <v>Food waste, Landfilled
(tons/yr)</v>
      </c>
      <c r="D4" s="745" t="s">
        <v>1086</v>
      </c>
      <c r="E4" s="745" t="s">
        <v>1192</v>
      </c>
      <c r="F4" s="745" t="s">
        <v>1262</v>
      </c>
      <c r="G4" s="745" t="s">
        <v>1259</v>
      </c>
      <c r="H4" s="745" t="s">
        <v>1380</v>
      </c>
      <c r="I4" s="918" t="s">
        <v>1381</v>
      </c>
      <c r="J4" s="918" t="s">
        <v>1382</v>
      </c>
      <c r="N4" s="943" t="s">
        <v>322</v>
      </c>
      <c r="O4" s="921" t="str">
        <f>IF('Bioenergy Calculator'!T75="No","Food waste, Landfilled
(tons/yr)","Food waste
(tons/yr)")</f>
        <v>Food waste
(tons/yr)</v>
      </c>
      <c r="P4" s="989" t="s">
        <v>1504</v>
      </c>
      <c r="Q4" s="921" t="s">
        <v>1086</v>
      </c>
      <c r="R4" s="921" t="s">
        <v>1192</v>
      </c>
      <c r="S4" s="921" t="s">
        <v>1498</v>
      </c>
      <c r="T4" s="921" t="s">
        <v>1497</v>
      </c>
      <c r="U4" s="921" t="s">
        <v>1262</v>
      </c>
      <c r="V4" s="921" t="s">
        <v>1500</v>
      </c>
      <c r="W4" s="921" t="s">
        <v>1259</v>
      </c>
      <c r="X4" s="921" t="s">
        <v>1380</v>
      </c>
      <c r="Y4" s="921" t="s">
        <v>1381</v>
      </c>
      <c r="Z4" s="921" t="s">
        <v>1382</v>
      </c>
      <c r="AA4" s="921" t="s">
        <v>1512</v>
      </c>
      <c r="AB4" s="921" t="s">
        <v>1513</v>
      </c>
      <c r="AC4" s="921" t="s">
        <v>1514</v>
      </c>
      <c r="AD4" s="921" t="s">
        <v>1518</v>
      </c>
    </row>
    <row r="5" spans="2:30" x14ac:dyDescent="0.3">
      <c r="B5" s="784" t="s">
        <v>403</v>
      </c>
      <c r="C5" s="758">
        <f>IF('Bioenergy Calculator'!$H$75="No",'Biomass Data Assumptions'!J7,'Biomass Data Assumptions'!F7*'Biomass Data Assumptions'!$I$41)</f>
        <v>37581.618648000003</v>
      </c>
      <c r="D5" s="785">
        <f xml:space="preserve"> (C5*0.3)*16*4.8</f>
        <v>865880.4936499201</v>
      </c>
      <c r="E5" s="785">
        <f xml:space="preserve"> D5*(1/1.136)</f>
        <v>762218.74441014102</v>
      </c>
      <c r="F5" s="758">
        <f t="shared" ref="F5:F25" si="0" xml:space="preserve"> C5*113*(1/0.0283168)*0.03144075657*2.20462/2000</f>
        <v>5197.6434794661691</v>
      </c>
      <c r="G5" s="758">
        <f>W5</f>
        <v>14601.271691215923</v>
      </c>
      <c r="H5" s="758">
        <f xml:space="preserve"> G5-F5</f>
        <v>9403.628211749754</v>
      </c>
      <c r="I5" s="758">
        <f>E5*(0.01018*1.10231)</f>
        <v>8553.2496834545582</v>
      </c>
      <c r="J5" s="758">
        <f>I5-F5</f>
        <v>3355.6062039883891</v>
      </c>
      <c r="N5" s="784" t="s">
        <v>403</v>
      </c>
      <c r="O5" s="990">
        <f>'GHG - FW Power'!M5</f>
        <v>37581.618648000003</v>
      </c>
      <c r="P5" s="990">
        <f>'GHG - FW Power'!N5</f>
        <v>25054.412432000001</v>
      </c>
      <c r="Q5" s="990">
        <f>((O5*0.3*16)+(P5*0.33*15.6))*4.8</f>
        <v>1484985.0466096129</v>
      </c>
      <c r="R5" s="990">
        <f>Q5/1.136</f>
        <v>1307205.1466633917</v>
      </c>
      <c r="S5" s="991">
        <f>(O5*0.9*7602)+(P5*0.9*3192)</f>
        <v>329102234.50053602</v>
      </c>
      <c r="T5" s="990">
        <f>S5*0.65</f>
        <v>213916452.42534843</v>
      </c>
      <c r="U5" s="990">
        <f xml:space="preserve"> (O5*183+P5*90)*(1/0.0283168)*0.03144075657*2.20462/2000</f>
        <v>11177.233323099814</v>
      </c>
      <c r="V5" s="990">
        <f>T5*0.000841*52.07/1000</f>
        <v>9367.5875590196174</v>
      </c>
      <c r="W5" s="990">
        <f>Q5*(0.00892*1.10231)</f>
        <v>14601.271691215923</v>
      </c>
      <c r="X5" s="990">
        <f>W5-V5</f>
        <v>5233.6841321963057</v>
      </c>
      <c r="Y5" s="992">
        <f>R5*(0.01018*1.10231)</f>
        <v>14668.823207124566</v>
      </c>
      <c r="Z5" s="990">
        <f>Y5-V5</f>
        <v>5301.2356481049483</v>
      </c>
      <c r="AA5" s="990">
        <f>Q5*114000*1055.05585/1000000</f>
        <v>178608606.30703139</v>
      </c>
      <c r="AB5" s="998">
        <f>AA5*99.18/1000000</f>
        <v>17714.401573531377</v>
      </c>
      <c r="AC5" s="990">
        <f>R5*0.138*1055.05585</f>
        <v>190326072.32495007</v>
      </c>
      <c r="AD5" s="990">
        <f>AC5*98.03/1000000</f>
        <v>18657.664870014854</v>
      </c>
    </row>
    <row r="6" spans="2:30" x14ac:dyDescent="0.3">
      <c r="B6" s="784" t="s">
        <v>325</v>
      </c>
      <c r="C6" s="758">
        <f>IF('Bioenergy Calculator'!$H$75="No",'Biomass Data Assumptions'!J8,'Biomass Data Assumptions'!F8*'Biomass Data Assumptions'!$I$41)</f>
        <v>86443.549080000012</v>
      </c>
      <c r="D6" s="785">
        <f t="shared" ref="D6:D25" si="1" xml:space="preserve"> (C6*0.3)*16*4.8</f>
        <v>1991659.3708032002</v>
      </c>
      <c r="E6" s="785">
        <f t="shared" ref="E6:E25" si="2" xml:space="preserve"> D6*(1/1.136)</f>
        <v>1753221.2771154933</v>
      </c>
      <c r="F6" s="758">
        <f t="shared" si="0"/>
        <v>11955.385781167955</v>
      </c>
      <c r="G6" s="758">
        <f t="shared" ref="G6:G25" si="3">D6*(0.00892*1.10231)</f>
        <v>19583.200285988274</v>
      </c>
      <c r="H6" s="758">
        <f t="shared" ref="H6:H25" si="4" xml:space="preserve"> G6-F6</f>
        <v>7627.8145048203187</v>
      </c>
      <c r="I6" s="758">
        <f t="shared" ref="I6:I25" si="5">E6*(0.01018*1.10231)</f>
        <v>19673.800262047684</v>
      </c>
      <c r="J6" s="758">
        <f t="shared" ref="J6:J25" si="6">I6-F6</f>
        <v>7718.4144808797282</v>
      </c>
      <c r="N6" s="784" t="s">
        <v>325</v>
      </c>
      <c r="O6" s="990">
        <f>'GHG - FW Power'!M6</f>
        <v>86443.549080000012</v>
      </c>
      <c r="P6" s="990">
        <f>'GHG - FW Power'!N6</f>
        <v>57629.03272000001</v>
      </c>
      <c r="Q6" s="990">
        <f t="shared" ref="Q6:Q25" si="7">((O6*0.3*16)+(P6*0.33*15.6))*4.8</f>
        <v>3415695.8209274886</v>
      </c>
      <c r="R6" s="990">
        <f t="shared" ref="R6:R25" si="8">Q6/1.136</f>
        <v>3006774.4902530713</v>
      </c>
      <c r="S6" s="991">
        <f t="shared" ref="S6:S25" si="9">(O6*0.9*7602)+(P6*0.9*3192)</f>
        <v>756986159.29356015</v>
      </c>
      <c r="T6" s="990">
        <f t="shared" ref="T6:T25" si="10">S6*0.65</f>
        <v>492041003.5408141</v>
      </c>
      <c r="U6" s="990">
        <f t="shared" ref="U6:U25" si="11" xml:space="preserve"> (O6*183+P6*90)*(1/0.0283168)*0.03144075657*2.20462/2000</f>
        <v>25709.369423219585</v>
      </c>
      <c r="V6" s="990">
        <f t="shared" ref="V6:V25" si="12">T6*0.000841*52.07/1000</f>
        <v>21546.90362072533</v>
      </c>
      <c r="W6" s="990">
        <f t="shared" ref="W6:W25" si="13">Q6*(0.00892*1.10231)</f>
        <v>33585.188490469896</v>
      </c>
      <c r="X6" s="990">
        <f t="shared" ref="X6:X25" si="14">W6-V6</f>
        <v>12038.284869744566</v>
      </c>
      <c r="Y6" s="992">
        <f t="shared" ref="Y6:Y25" si="15">R6*(0.01018*1.10231)</f>
        <v>33740.567449411777</v>
      </c>
      <c r="Z6" s="990">
        <f t="shared" ref="Z6:Z25" si="16">Y6-V6</f>
        <v>12193.663828686447</v>
      </c>
      <c r="AA6" s="990">
        <f t="shared" ref="AA6:AA25" si="17">Q6*114000*1055.05585/1000000</f>
        <v>410827483.77667129</v>
      </c>
      <c r="AB6" s="998">
        <f t="shared" ref="AB6:AB25" si="18">AA6*99.18/1000000</f>
        <v>40745.869840970263</v>
      </c>
      <c r="AC6" s="990">
        <f t="shared" ref="AC6:AC25" si="19">R6*0.138*1055.05585</f>
        <v>437779472.14897341</v>
      </c>
      <c r="AD6" s="990">
        <f t="shared" ref="AD6:AD25" si="20">AC6*98.03/1000000</f>
        <v>42915.521654763863</v>
      </c>
    </row>
    <row r="7" spans="2:30" x14ac:dyDescent="0.3">
      <c r="B7" s="784" t="s">
        <v>328</v>
      </c>
      <c r="C7" s="758">
        <f>IF('Bioenergy Calculator'!$H$75="No",'Biomass Data Assumptions'!J9,'Biomass Data Assumptions'!F9*'Biomass Data Assumptions'!$I$41)</f>
        <v>42172.365913999995</v>
      </c>
      <c r="D7" s="785">
        <f t="shared" si="1"/>
        <v>971651.3106585599</v>
      </c>
      <c r="E7" s="785">
        <f t="shared" si="2"/>
        <v>855326.85797408444</v>
      </c>
      <c r="F7" s="758">
        <f t="shared" si="0"/>
        <v>5832.5567283203882</v>
      </c>
      <c r="G7" s="758">
        <f t="shared" si="3"/>
        <v>9553.8637297681726</v>
      </c>
      <c r="H7" s="758">
        <f t="shared" si="4"/>
        <v>3721.3070014477844</v>
      </c>
      <c r="I7" s="758">
        <f t="shared" si="5"/>
        <v>9598.0638509205437</v>
      </c>
      <c r="J7" s="758">
        <f t="shared" si="6"/>
        <v>3765.5071226001555</v>
      </c>
      <c r="N7" s="784" t="s">
        <v>328</v>
      </c>
      <c r="O7" s="990">
        <f>'GHG - FW Power'!M7</f>
        <v>42172.365913999995</v>
      </c>
      <c r="P7" s="990">
        <f>'GHG - FW Power'!N7</f>
        <v>28114.910609333328</v>
      </c>
      <c r="Q7" s="990">
        <f t="shared" si="7"/>
        <v>1666381.9977794301</v>
      </c>
      <c r="R7" s="990">
        <f t="shared" si="8"/>
        <v>1466885.5614255548</v>
      </c>
      <c r="S7" s="991">
        <f t="shared" si="9"/>
        <v>369303408.30889797</v>
      </c>
      <c r="T7" s="990">
        <f t="shared" si="10"/>
        <v>240047215.40078369</v>
      </c>
      <c r="U7" s="990">
        <f t="shared" si="11"/>
        <v>12542.577743202248</v>
      </c>
      <c r="V7" s="990">
        <f t="shared" si="12"/>
        <v>10511.876403477716</v>
      </c>
      <c r="W7" s="990">
        <f t="shared" si="13"/>
        <v>16384.876296552415</v>
      </c>
      <c r="X7" s="990">
        <f t="shared" si="14"/>
        <v>5872.9998930746988</v>
      </c>
      <c r="Y7" s="992">
        <f t="shared" si="15"/>
        <v>16460.679504328731</v>
      </c>
      <c r="Z7" s="990">
        <f t="shared" si="16"/>
        <v>5948.8031008510152</v>
      </c>
      <c r="AA7" s="990">
        <f t="shared" si="17"/>
        <v>200426372.56047371</v>
      </c>
      <c r="AB7" s="998">
        <f t="shared" si="18"/>
        <v>19878.287630547784</v>
      </c>
      <c r="AC7" s="990">
        <f t="shared" si="19"/>
        <v>213575174.6150341</v>
      </c>
      <c r="AD7" s="990">
        <f t="shared" si="20"/>
        <v>20936.774367511796</v>
      </c>
    </row>
    <row r="8" spans="2:30" x14ac:dyDescent="0.3">
      <c r="B8" s="784" t="s">
        <v>331</v>
      </c>
      <c r="C8" s="758">
        <f>IF('Bioenergy Calculator'!$H$75="No",'Biomass Data Assumptions'!J10,'Biomass Data Assumptions'!F10*'Biomass Data Assumptions'!$I$41)</f>
        <v>13388.749177999998</v>
      </c>
      <c r="D8" s="785">
        <f t="shared" si="1"/>
        <v>308476.78106111992</v>
      </c>
      <c r="E8" s="785">
        <f t="shared" si="2"/>
        <v>271546.46220169007</v>
      </c>
      <c r="F8" s="758">
        <f t="shared" si="0"/>
        <v>1851.7016394381171</v>
      </c>
      <c r="G8" s="758">
        <f t="shared" si="3"/>
        <v>3033.1304015408296</v>
      </c>
      <c r="H8" s="758">
        <f t="shared" si="4"/>
        <v>1181.4287621027124</v>
      </c>
      <c r="I8" s="758">
        <f t="shared" si="5"/>
        <v>3047.1629160303673</v>
      </c>
      <c r="J8" s="758">
        <f t="shared" si="6"/>
        <v>1195.4612765922502</v>
      </c>
      <c r="N8" s="784" t="s">
        <v>331</v>
      </c>
      <c r="O8" s="990">
        <f>'GHG - FW Power'!M8</f>
        <v>13388.749177999998</v>
      </c>
      <c r="P8" s="990">
        <f>'GHG - FW Power'!N8</f>
        <v>8925.8327853333321</v>
      </c>
      <c r="Q8" s="990">
        <f t="shared" si="7"/>
        <v>529037.67951982073</v>
      </c>
      <c r="R8" s="990">
        <f t="shared" si="8"/>
        <v>465702.18267589854</v>
      </c>
      <c r="S8" s="991">
        <f t="shared" si="9"/>
        <v>117245276.55174598</v>
      </c>
      <c r="T8" s="990">
        <f t="shared" si="10"/>
        <v>76209429.758634895</v>
      </c>
      <c r="U8" s="990">
        <f t="shared" si="11"/>
        <v>3981.9778618005521</v>
      </c>
      <c r="V8" s="990">
        <f t="shared" si="12"/>
        <v>3337.2772313345122</v>
      </c>
      <c r="W8" s="990">
        <f t="shared" si="13"/>
        <v>5201.8186386425232</v>
      </c>
      <c r="X8" s="990">
        <f t="shared" si="14"/>
        <v>1864.541407308011</v>
      </c>
      <c r="Y8" s="992">
        <f t="shared" si="15"/>
        <v>5225.8844009920813</v>
      </c>
      <c r="Z8" s="990">
        <f t="shared" si="16"/>
        <v>1888.6071696575691</v>
      </c>
      <c r="AA8" s="990">
        <f t="shared" si="17"/>
        <v>63630730.045850568</v>
      </c>
      <c r="AB8" s="998">
        <f t="shared" si="18"/>
        <v>6310.8958059474598</v>
      </c>
      <c r="AC8" s="990">
        <f t="shared" si="19"/>
        <v>67805170.082216606</v>
      </c>
      <c r="AD8" s="990">
        <f t="shared" si="20"/>
        <v>6646.9408231596935</v>
      </c>
    </row>
    <row r="9" spans="2:30" x14ac:dyDescent="0.3">
      <c r="B9" s="784" t="s">
        <v>333</v>
      </c>
      <c r="C9" s="758">
        <f>IF('Bioenergy Calculator'!$H$75="No",'Biomass Data Assumptions'!J11,'Biomass Data Assumptions'!F11*'Biomass Data Assumptions'!$I$41)</f>
        <v>14397.674424000003</v>
      </c>
      <c r="D9" s="785">
        <f t="shared" si="1"/>
        <v>331722.41872896004</v>
      </c>
      <c r="E9" s="785">
        <f t="shared" si="2"/>
        <v>292009.17141633807</v>
      </c>
      <c r="F9" s="758">
        <f t="shared" si="0"/>
        <v>1991.2388364720666</v>
      </c>
      <c r="G9" s="758">
        <f t="shared" si="3"/>
        <v>3261.6955793509501</v>
      </c>
      <c r="H9" s="758">
        <f t="shared" si="4"/>
        <v>1270.4567428788835</v>
      </c>
      <c r="I9" s="758">
        <f t="shared" si="5"/>
        <v>3276.7855307933455</v>
      </c>
      <c r="J9" s="758">
        <f t="shared" si="6"/>
        <v>1285.5466943212789</v>
      </c>
      <c r="N9" s="784" t="s">
        <v>333</v>
      </c>
      <c r="O9" s="990">
        <f>'GHG - FW Power'!M9</f>
        <v>14397.674424000003</v>
      </c>
      <c r="P9" s="990">
        <f>'GHG - FW Power'!N9</f>
        <v>9598.4496160000017</v>
      </c>
      <c r="Q9" s="990">
        <f t="shared" si="7"/>
        <v>568903.94812016655</v>
      </c>
      <c r="R9" s="990">
        <f t="shared" si="8"/>
        <v>500795.72897901991</v>
      </c>
      <c r="S9" s="991">
        <f t="shared" si="9"/>
        <v>126080434.93096802</v>
      </c>
      <c r="T9" s="990">
        <f t="shared" si="10"/>
        <v>81952282.705129206</v>
      </c>
      <c r="U9" s="990">
        <f t="shared" si="11"/>
        <v>4282.0445775461249</v>
      </c>
      <c r="V9" s="990">
        <f t="shared" si="12"/>
        <v>3588.7617581435611</v>
      </c>
      <c r="W9" s="990">
        <f t="shared" si="13"/>
        <v>5593.8079185868801</v>
      </c>
      <c r="X9" s="990">
        <f t="shared" si="14"/>
        <v>2005.046160443319</v>
      </c>
      <c r="Y9" s="992">
        <f t="shared" si="15"/>
        <v>5619.6871853105886</v>
      </c>
      <c r="Z9" s="990">
        <f t="shared" si="16"/>
        <v>2030.9254271670275</v>
      </c>
      <c r="AA9" s="990">
        <f t="shared" si="17"/>
        <v>68425699.994959712</v>
      </c>
      <c r="AB9" s="998">
        <f t="shared" si="18"/>
        <v>6786.4609255001051</v>
      </c>
      <c r="AC9" s="990">
        <f t="shared" si="19"/>
        <v>72914709.964977473</v>
      </c>
      <c r="AD9" s="990">
        <f t="shared" si="20"/>
        <v>7147.8290178667421</v>
      </c>
    </row>
    <row r="10" spans="2:30" x14ac:dyDescent="0.3">
      <c r="B10" s="784" t="s">
        <v>335</v>
      </c>
      <c r="C10" s="758">
        <f>IF('Bioenergy Calculator'!$H$75="No",'Biomass Data Assumptions'!J12,'Biomass Data Assumptions'!F12*'Biomass Data Assumptions'!$I$41)</f>
        <v>18000.793328000003</v>
      </c>
      <c r="D10" s="785">
        <f t="shared" si="1"/>
        <v>414738.27827712003</v>
      </c>
      <c r="E10" s="785">
        <f t="shared" si="2"/>
        <v>365086.51256788737</v>
      </c>
      <c r="F10" s="758">
        <f t="shared" si="0"/>
        <v>2489.5603072029057</v>
      </c>
      <c r="G10" s="758">
        <f t="shared" si="3"/>
        <v>4077.9577516266577</v>
      </c>
      <c r="H10" s="758">
        <f t="shared" si="4"/>
        <v>1588.3974444237519</v>
      </c>
      <c r="I10" s="758">
        <f t="shared" si="5"/>
        <v>4096.8240691474457</v>
      </c>
      <c r="J10" s="758">
        <f t="shared" si="6"/>
        <v>1607.26376194454</v>
      </c>
      <c r="N10" s="784" t="s">
        <v>335</v>
      </c>
      <c r="O10" s="990">
        <f>'GHG - FW Power'!M10</f>
        <v>18000.793328000003</v>
      </c>
      <c r="P10" s="990">
        <f>'GHG - FW Power'!N10</f>
        <v>12000.528885333335</v>
      </c>
      <c r="Q10" s="990">
        <f t="shared" si="7"/>
        <v>711276.147245261</v>
      </c>
      <c r="R10" s="990">
        <f t="shared" si="8"/>
        <v>626123.36905392702</v>
      </c>
      <c r="S10" s="991">
        <f t="shared" si="9"/>
        <v>157632947.17329603</v>
      </c>
      <c r="T10" s="990">
        <f t="shared" si="10"/>
        <v>102461415.66264242</v>
      </c>
      <c r="U10" s="990">
        <f t="shared" si="11"/>
        <v>5353.6562358434167</v>
      </c>
      <c r="V10" s="990">
        <f t="shared" si="12"/>
        <v>4486.8745332987382</v>
      </c>
      <c r="W10" s="990">
        <f t="shared" si="13"/>
        <v>6993.6975440397191</v>
      </c>
      <c r="X10" s="990">
        <f t="shared" si="14"/>
        <v>2506.8230107409809</v>
      </c>
      <c r="Y10" s="992">
        <f t="shared" si="15"/>
        <v>7026.0532785878722</v>
      </c>
      <c r="Z10" s="990">
        <f t="shared" si="16"/>
        <v>2539.178745289134</v>
      </c>
      <c r="AA10" s="990">
        <f t="shared" si="17"/>
        <v>85549710.853289425</v>
      </c>
      <c r="AB10" s="998">
        <f t="shared" si="18"/>
        <v>8484.8203224292465</v>
      </c>
      <c r="AC10" s="990">
        <f t="shared" si="19"/>
        <v>91162127.021203548</v>
      </c>
      <c r="AD10" s="990">
        <f t="shared" si="20"/>
        <v>8936.6233118885848</v>
      </c>
    </row>
    <row r="11" spans="2:30" x14ac:dyDescent="0.3">
      <c r="B11" s="784" t="s">
        <v>336</v>
      </c>
      <c r="C11" s="758">
        <f>IF('Bioenergy Calculator'!$H$75="No",'Biomass Data Assumptions'!J13,'Biomass Data Assumptions'!F13*'Biomass Data Assumptions'!$I$41)</f>
        <v>16021.374361999997</v>
      </c>
      <c r="D11" s="785">
        <f t="shared" si="1"/>
        <v>369132.4653004799</v>
      </c>
      <c r="E11" s="785">
        <f t="shared" si="2"/>
        <v>324940.5504405633</v>
      </c>
      <c r="F11" s="758">
        <f t="shared" si="0"/>
        <v>2215.8011011898589</v>
      </c>
      <c r="G11" s="758">
        <f t="shared" si="3"/>
        <v>3629.5337978023185</v>
      </c>
      <c r="H11" s="758">
        <f t="shared" si="4"/>
        <v>1413.7326966124597</v>
      </c>
      <c r="I11" s="758">
        <f t="shared" si="5"/>
        <v>3646.3255208294772</v>
      </c>
      <c r="J11" s="758">
        <f t="shared" si="6"/>
        <v>1430.5244196396184</v>
      </c>
      <c r="N11" s="784" t="s">
        <v>336</v>
      </c>
      <c r="O11" s="990">
        <f>'GHG - FW Power'!M11</f>
        <v>16021.374361999997</v>
      </c>
      <c r="P11" s="990">
        <f>'GHG - FW Power'!N11</f>
        <v>10680.916241333331</v>
      </c>
      <c r="Q11" s="990">
        <f t="shared" si="7"/>
        <v>633062.17799032305</v>
      </c>
      <c r="R11" s="990">
        <f t="shared" si="8"/>
        <v>557273.04400556616</v>
      </c>
      <c r="S11" s="991">
        <f t="shared" si="9"/>
        <v>140299175.28803399</v>
      </c>
      <c r="T11" s="990">
        <f t="shared" si="10"/>
        <v>91194463.937222093</v>
      </c>
      <c r="U11" s="990">
        <f t="shared" si="11"/>
        <v>4764.9528105233248</v>
      </c>
      <c r="V11" s="990">
        <f t="shared" si="12"/>
        <v>3993.4849149945803</v>
      </c>
      <c r="W11" s="990">
        <f t="shared" si="13"/>
        <v>6224.6504632309761</v>
      </c>
      <c r="X11" s="990">
        <f t="shared" si="14"/>
        <v>2231.1655482363958</v>
      </c>
      <c r="Y11" s="992">
        <f t="shared" si="15"/>
        <v>6253.4482682225553</v>
      </c>
      <c r="Z11" s="990">
        <f t="shared" si="16"/>
        <v>2259.9633532279749</v>
      </c>
      <c r="AA11" s="990">
        <f t="shared" si="17"/>
        <v>76142418.790477186</v>
      </c>
      <c r="AB11" s="998">
        <f t="shared" si="18"/>
        <v>7551.8050956395282</v>
      </c>
      <c r="AC11" s="990">
        <f t="shared" si="19"/>
        <v>81137677.547302455</v>
      </c>
      <c r="AD11" s="990">
        <f t="shared" si="20"/>
        <v>7953.9265299620602</v>
      </c>
    </row>
    <row r="12" spans="2:30" x14ac:dyDescent="0.3">
      <c r="B12" s="784" t="s">
        <v>337</v>
      </c>
      <c r="C12" s="758">
        <f>IF('Bioenergy Calculator'!$H$75="No",'Biomass Data Assumptions'!J14,'Biomass Data Assumptions'!F14*'Biomass Data Assumptions'!$I$41)</f>
        <v>4014.9831120000008</v>
      </c>
      <c r="D12" s="785">
        <f t="shared" si="1"/>
        <v>92505.210900480015</v>
      </c>
      <c r="E12" s="785">
        <f t="shared" si="2"/>
        <v>81430.643398309883</v>
      </c>
      <c r="F12" s="758">
        <f t="shared" si="0"/>
        <v>555.28344821209976</v>
      </c>
      <c r="G12" s="758">
        <f t="shared" si="3"/>
        <v>909.5672177271565</v>
      </c>
      <c r="H12" s="758">
        <f t="shared" si="4"/>
        <v>354.28376951505675</v>
      </c>
      <c r="I12" s="758">
        <f t="shared" si="5"/>
        <v>913.77525149829989</v>
      </c>
      <c r="J12" s="758">
        <f t="shared" si="6"/>
        <v>358.49180328620014</v>
      </c>
      <c r="N12" s="784" t="s">
        <v>337</v>
      </c>
      <c r="O12" s="990">
        <f>'GHG - FW Power'!M12</f>
        <v>4014.9831120000008</v>
      </c>
      <c r="P12" s="990">
        <f>'GHG - FW Power'!N12</f>
        <v>2676.6554080000005</v>
      </c>
      <c r="Q12" s="990">
        <f t="shared" si="7"/>
        <v>158646.43669432323</v>
      </c>
      <c r="R12" s="990">
        <f t="shared" si="8"/>
        <v>139653.55342810144</v>
      </c>
      <c r="S12" s="991">
        <f t="shared" si="9"/>
        <v>35159207.111784011</v>
      </c>
      <c r="T12" s="990">
        <f t="shared" si="10"/>
        <v>22853484.622659609</v>
      </c>
      <c r="U12" s="990">
        <f t="shared" si="11"/>
        <v>1194.1051142968161</v>
      </c>
      <c r="V12" s="990">
        <f t="shared" si="12"/>
        <v>1000.7739741578858</v>
      </c>
      <c r="W12" s="990">
        <f t="shared" si="13"/>
        <v>1559.9077784020735</v>
      </c>
      <c r="X12" s="990">
        <f t="shared" si="14"/>
        <v>559.13380424418767</v>
      </c>
      <c r="Y12" s="992">
        <f t="shared" si="15"/>
        <v>1567.1245563195841</v>
      </c>
      <c r="Z12" s="990">
        <f t="shared" si="16"/>
        <v>566.3505821616983</v>
      </c>
      <c r="AA12" s="990">
        <f t="shared" si="17"/>
        <v>19081417.027224042</v>
      </c>
      <c r="AB12" s="998">
        <f t="shared" si="18"/>
        <v>1892.4949407600807</v>
      </c>
      <c r="AC12" s="990">
        <f t="shared" si="19"/>
        <v>20333237.195429627</v>
      </c>
      <c r="AD12" s="990">
        <f t="shared" si="20"/>
        <v>1993.2672422679664</v>
      </c>
    </row>
    <row r="13" spans="2:30" x14ac:dyDescent="0.3">
      <c r="B13" s="784" t="s">
        <v>338</v>
      </c>
      <c r="C13" s="758">
        <f>IF('Bioenergy Calculator'!$H$75="No",'Biomass Data Assumptions'!J15,'Biomass Data Assumptions'!F15*'Biomass Data Assumptions'!$I$41)</f>
        <v>58367.326808000005</v>
      </c>
      <c r="D13" s="785">
        <f t="shared" si="1"/>
        <v>1344783.2096563198</v>
      </c>
      <c r="E13" s="785">
        <f t="shared" si="2"/>
        <v>1183788.0366692957</v>
      </c>
      <c r="F13" s="758">
        <f t="shared" si="0"/>
        <v>8072.3653347383661</v>
      </c>
      <c r="G13" s="758">
        <f t="shared" si="3"/>
        <v>13222.722380139421</v>
      </c>
      <c r="H13" s="758">
        <f t="shared" si="4"/>
        <v>5150.3570454010551</v>
      </c>
      <c r="I13" s="758">
        <f t="shared" si="5"/>
        <v>13283.896157335479</v>
      </c>
      <c r="J13" s="758">
        <f t="shared" si="6"/>
        <v>5211.530822597113</v>
      </c>
      <c r="N13" s="784" t="s">
        <v>338</v>
      </c>
      <c r="O13" s="990">
        <f>'GHG - FW Power'!M13</f>
        <v>58367.326808000005</v>
      </c>
      <c r="P13" s="990">
        <f>'GHG - FW Power'!N13</f>
        <v>38911.551205333337</v>
      </c>
      <c r="Q13" s="990">
        <f t="shared" si="7"/>
        <v>2306303.204560589</v>
      </c>
      <c r="R13" s="990">
        <f t="shared" si="8"/>
        <v>2030196.4828878427</v>
      </c>
      <c r="S13" s="991">
        <f t="shared" si="9"/>
        <v>511122680.85765606</v>
      </c>
      <c r="T13" s="990">
        <f t="shared" si="10"/>
        <v>332229742.55747646</v>
      </c>
      <c r="U13" s="990">
        <f t="shared" si="11"/>
        <v>17359.157312755957</v>
      </c>
      <c r="V13" s="990">
        <f t="shared" si="12"/>
        <v>14548.629466467917</v>
      </c>
      <c r="W13" s="990">
        <f t="shared" si="13"/>
        <v>22676.968881939112</v>
      </c>
      <c r="X13" s="990">
        <f t="shared" si="14"/>
        <v>8128.339415471195</v>
      </c>
      <c r="Y13" s="992">
        <f t="shared" si="15"/>
        <v>22781.881909830354</v>
      </c>
      <c r="Z13" s="990">
        <f t="shared" si="16"/>
        <v>8233.2524433624367</v>
      </c>
      <c r="AA13" s="990">
        <f t="shared" si="17"/>
        <v>277393770.41437519</v>
      </c>
      <c r="AB13" s="998">
        <f t="shared" si="18"/>
        <v>27511.914149697732</v>
      </c>
      <c r="AC13" s="990">
        <f t="shared" si="19"/>
        <v>295591953.27699363</v>
      </c>
      <c r="AD13" s="990">
        <f t="shared" si="20"/>
        <v>28976.879179743686</v>
      </c>
    </row>
    <row r="14" spans="2:30" x14ac:dyDescent="0.3">
      <c r="B14" s="784" t="s">
        <v>339</v>
      </c>
      <c r="C14" s="758">
        <f>IF('Bioenergy Calculator'!$H$75="No",'Biomass Data Assumptions'!J16,'Biomass Data Assumptions'!F16*'Biomass Data Assumptions'!$I$41)</f>
        <v>7762.3630140000014</v>
      </c>
      <c r="D14" s="785">
        <f t="shared" si="1"/>
        <v>178844.84384256002</v>
      </c>
      <c r="E14" s="785">
        <f t="shared" si="2"/>
        <v>157433.84141070425</v>
      </c>
      <c r="F14" s="758">
        <f t="shared" si="0"/>
        <v>1073.5566204015424</v>
      </c>
      <c r="G14" s="758">
        <f t="shared" si="3"/>
        <v>1758.5107415595437</v>
      </c>
      <c r="H14" s="758">
        <f t="shared" si="4"/>
        <v>684.95412115800127</v>
      </c>
      <c r="I14" s="758">
        <f t="shared" si="5"/>
        <v>1766.6463388449117</v>
      </c>
      <c r="J14" s="758">
        <f t="shared" si="6"/>
        <v>693.08971844336929</v>
      </c>
      <c r="N14" s="784" t="s">
        <v>339</v>
      </c>
      <c r="O14" s="990">
        <f>'GHG - FW Power'!M14</f>
        <v>7762.3630140000014</v>
      </c>
      <c r="P14" s="990">
        <f>'GHG - FW Power'!N14</f>
        <v>5174.9086760000009</v>
      </c>
      <c r="Q14" s="990">
        <f t="shared" si="7"/>
        <v>306718.90718999045</v>
      </c>
      <c r="R14" s="990">
        <f t="shared" si="8"/>
        <v>269999.03801935783</v>
      </c>
      <c r="S14" s="991">
        <f t="shared" si="9"/>
        <v>67975012.913598016</v>
      </c>
      <c r="T14" s="990">
        <f t="shared" si="10"/>
        <v>44183758.393838711</v>
      </c>
      <c r="U14" s="990">
        <f t="shared" si="11"/>
        <v>2308.6217589165908</v>
      </c>
      <c r="V14" s="990">
        <f t="shared" si="12"/>
        <v>1934.8452199359999</v>
      </c>
      <c r="W14" s="990">
        <f t="shared" si="13"/>
        <v>3015.8459217746176</v>
      </c>
      <c r="X14" s="990">
        <f t="shared" si="14"/>
        <v>1081.0007018386177</v>
      </c>
      <c r="Y14" s="992">
        <f t="shared" si="15"/>
        <v>3029.7984711190243</v>
      </c>
      <c r="Z14" s="990">
        <f t="shared" si="16"/>
        <v>1094.9532511830243</v>
      </c>
      <c r="AA14" s="990">
        <f t="shared" si="17"/>
        <v>36891035.816350333</v>
      </c>
      <c r="AB14" s="998">
        <f t="shared" si="18"/>
        <v>3658.8529322656264</v>
      </c>
      <c r="AC14" s="990">
        <f t="shared" si="19"/>
        <v>39311240.908824034</v>
      </c>
      <c r="AD14" s="990">
        <f t="shared" si="20"/>
        <v>3853.6809462920205</v>
      </c>
    </row>
    <row r="15" spans="2:30" x14ac:dyDescent="0.3">
      <c r="B15" s="784" t="s">
        <v>340</v>
      </c>
      <c r="C15" s="758">
        <f>IF('Bioenergy Calculator'!$H$75="No",'Biomass Data Assumptions'!J17,'Biomass Data Assumptions'!F17*'Biomass Data Assumptions'!$I$41)</f>
        <v>37298.628905999998</v>
      </c>
      <c r="D15" s="785">
        <f t="shared" si="1"/>
        <v>859360.4099942398</v>
      </c>
      <c r="E15" s="785">
        <f t="shared" si="2"/>
        <v>756479.23414985905</v>
      </c>
      <c r="F15" s="758">
        <f t="shared" si="0"/>
        <v>5158.5052028251657</v>
      </c>
      <c r="G15" s="758">
        <f t="shared" si="3"/>
        <v>8449.7516359834954</v>
      </c>
      <c r="H15" s="758">
        <f t="shared" si="4"/>
        <v>3291.2464331583296</v>
      </c>
      <c r="I15" s="758">
        <f t="shared" si="5"/>
        <v>8488.8436783845409</v>
      </c>
      <c r="J15" s="758">
        <f t="shared" si="6"/>
        <v>3330.3384755593752</v>
      </c>
      <c r="N15" s="784" t="s">
        <v>340</v>
      </c>
      <c r="O15" s="990">
        <f>'GHG - FW Power'!M15</f>
        <v>37298.628905999998</v>
      </c>
      <c r="P15" s="990">
        <f>'GHG - FW Power'!N15</f>
        <v>24865.752603999998</v>
      </c>
      <c r="Q15" s="990">
        <f t="shared" si="7"/>
        <v>1473803.1031401213</v>
      </c>
      <c r="R15" s="990">
        <f t="shared" si="8"/>
        <v>1297361.8865670082</v>
      </c>
      <c r="S15" s="991">
        <f t="shared" si="9"/>
        <v>326624093.32984197</v>
      </c>
      <c r="T15" s="990">
        <f t="shared" si="10"/>
        <v>212305660.6643973</v>
      </c>
      <c r="U15" s="990">
        <f t="shared" si="11"/>
        <v>11093.068710500133</v>
      </c>
      <c r="V15" s="990">
        <f t="shared" si="12"/>
        <v>9297.0495864187342</v>
      </c>
      <c r="W15" s="990">
        <f t="shared" si="13"/>
        <v>14491.324055711693</v>
      </c>
      <c r="X15" s="990">
        <f t="shared" si="14"/>
        <v>5194.2744692929591</v>
      </c>
      <c r="Y15" s="992">
        <f t="shared" si="15"/>
        <v>14558.366908429489</v>
      </c>
      <c r="Z15" s="990">
        <f t="shared" si="16"/>
        <v>5261.3173220107547</v>
      </c>
      <c r="AA15" s="990">
        <f t="shared" si="17"/>
        <v>177263682.77163976</v>
      </c>
      <c r="AB15" s="998">
        <f t="shared" si="18"/>
        <v>17581.012057291235</v>
      </c>
      <c r="AC15" s="990">
        <f t="shared" si="19"/>
        <v>188892916.22255906</v>
      </c>
      <c r="AD15" s="990">
        <f t="shared" si="20"/>
        <v>18517.172577297468</v>
      </c>
    </row>
    <row r="16" spans="2:30" x14ac:dyDescent="0.3">
      <c r="B16" s="784" t="s">
        <v>341</v>
      </c>
      <c r="C16" s="758">
        <f>IF('Bioenergy Calculator'!$H$75="No",'Biomass Data Assumptions'!J18,'Biomass Data Assumptions'!F18*'Biomass Data Assumptions'!$I$41)</f>
        <v>84580.071730000011</v>
      </c>
      <c r="D16" s="785">
        <f t="shared" si="1"/>
        <v>1948724.8526592001</v>
      </c>
      <c r="E16" s="785">
        <f t="shared" si="2"/>
        <v>1715426.80691831</v>
      </c>
      <c r="F16" s="758">
        <f t="shared" si="0"/>
        <v>11697.66162649332</v>
      </c>
      <c r="G16" s="758">
        <f t="shared" si="3"/>
        <v>19161.042119626087</v>
      </c>
      <c r="H16" s="758">
        <f t="shared" si="4"/>
        <v>7463.3804931327668</v>
      </c>
      <c r="I16" s="758">
        <f t="shared" si="5"/>
        <v>19249.689017577362</v>
      </c>
      <c r="J16" s="758">
        <f t="shared" si="6"/>
        <v>7552.0273910840424</v>
      </c>
      <c r="N16" s="784" t="s">
        <v>341</v>
      </c>
      <c r="O16" s="990">
        <f>'GHG - FW Power'!M16</f>
        <v>84580.071730000011</v>
      </c>
      <c r="P16" s="990">
        <f>'GHG - FW Power'!N16</f>
        <v>56386.714486666679</v>
      </c>
      <c r="Q16" s="990">
        <f t="shared" si="7"/>
        <v>3342063.1223105281</v>
      </c>
      <c r="R16" s="990">
        <f t="shared" si="8"/>
        <v>2941956.9738649018</v>
      </c>
      <c r="S16" s="991">
        <f t="shared" si="9"/>
        <v>740667688.13961005</v>
      </c>
      <c r="T16" s="990">
        <f t="shared" si="10"/>
        <v>481433997.29074657</v>
      </c>
      <c r="U16" s="990">
        <f t="shared" si="11"/>
        <v>25155.148453432539</v>
      </c>
      <c r="V16" s="990">
        <f t="shared" si="12"/>
        <v>21082.413588939431</v>
      </c>
      <c r="W16" s="990">
        <f t="shared" si="13"/>
        <v>32861.187235158737</v>
      </c>
      <c r="X16" s="990">
        <f t="shared" si="14"/>
        <v>11778.773646219306</v>
      </c>
      <c r="Y16" s="992">
        <f t="shared" si="15"/>
        <v>33013.216665145177</v>
      </c>
      <c r="Z16" s="990">
        <f t="shared" si="16"/>
        <v>11930.803076205746</v>
      </c>
      <c r="AA16" s="990">
        <f t="shared" si="17"/>
        <v>401971210.30198061</v>
      </c>
      <c r="AB16" s="998">
        <f t="shared" si="18"/>
        <v>39867.50463775044</v>
      </c>
      <c r="AC16" s="990">
        <f t="shared" si="19"/>
        <v>428342190.36997575</v>
      </c>
      <c r="AD16" s="990">
        <f t="shared" si="20"/>
        <v>41990.384921968718</v>
      </c>
    </row>
    <row r="17" spans="2:30" x14ac:dyDescent="0.3">
      <c r="B17" s="784" t="s">
        <v>342</v>
      </c>
      <c r="C17" s="758">
        <f>IF('Bioenergy Calculator'!$H$75="No",'Biomass Data Assumptions'!J19,'Biomass Data Assumptions'!F19*'Biomass Data Assumptions'!$I$41)</f>
        <v>67985.590974000006</v>
      </c>
      <c r="D17" s="785">
        <f t="shared" si="1"/>
        <v>1566388.0160409601</v>
      </c>
      <c r="E17" s="785">
        <f t="shared" si="2"/>
        <v>1378862.6901769016</v>
      </c>
      <c r="F17" s="758">
        <f t="shared" si="0"/>
        <v>9402.5983003387828</v>
      </c>
      <c r="G17" s="758">
        <f t="shared" si="3"/>
        <v>15401.674951742028</v>
      </c>
      <c r="H17" s="758">
        <f t="shared" si="4"/>
        <v>5999.0766514032457</v>
      </c>
      <c r="I17" s="758">
        <f t="shared" si="5"/>
        <v>15472.929463850603</v>
      </c>
      <c r="J17" s="758">
        <f t="shared" si="6"/>
        <v>6070.3311635118207</v>
      </c>
      <c r="N17" s="784" t="s">
        <v>342</v>
      </c>
      <c r="O17" s="990">
        <f>'GHG - FW Power'!M17</f>
        <v>67985.590974000006</v>
      </c>
      <c r="P17" s="990">
        <f>'GHG - FW Power'!N17</f>
        <v>45323.727316000004</v>
      </c>
      <c r="Q17" s="990">
        <f t="shared" si="7"/>
        <v>2686355.4475102467</v>
      </c>
      <c r="R17" s="990">
        <f t="shared" si="8"/>
        <v>2364749.5136533864</v>
      </c>
      <c r="S17" s="991">
        <f t="shared" si="9"/>
        <v>595349820.15931809</v>
      </c>
      <c r="T17" s="990">
        <f t="shared" si="10"/>
        <v>386977383.10355675</v>
      </c>
      <c r="U17" s="990">
        <f t="shared" si="11"/>
        <v>20219.746787454198</v>
      </c>
      <c r="V17" s="990">
        <f t="shared" si="12"/>
        <v>16946.076276428048</v>
      </c>
      <c r="W17" s="990">
        <f t="shared" si="13"/>
        <v>26413.872542237579</v>
      </c>
      <c r="X17" s="990">
        <f t="shared" si="14"/>
        <v>9467.7962658095312</v>
      </c>
      <c r="Y17" s="992">
        <f t="shared" si="15"/>
        <v>26536.074030503787</v>
      </c>
      <c r="Z17" s="990">
        <f t="shared" si="16"/>
        <v>9589.9977540757391</v>
      </c>
      <c r="AA17" s="990">
        <f t="shared" si="17"/>
        <v>323105073.42855608</v>
      </c>
      <c r="AB17" s="998">
        <f t="shared" si="18"/>
        <v>32045.561182644196</v>
      </c>
      <c r="AC17" s="990">
        <f t="shared" si="19"/>
        <v>344302107.52672315</v>
      </c>
      <c r="AD17" s="990">
        <f t="shared" si="20"/>
        <v>33751.93560084467</v>
      </c>
    </row>
    <row r="18" spans="2:30" x14ac:dyDescent="0.3">
      <c r="B18" s="784" t="s">
        <v>343</v>
      </c>
      <c r="C18" s="758">
        <f>IF('Bioenergy Calculator'!$H$75="No",'Biomass Data Assumptions'!J20,'Biomass Data Assumptions'!F20*'Biomass Data Assumptions'!$I$41)</f>
        <v>44805.017992000001</v>
      </c>
      <c r="D18" s="785">
        <f t="shared" si="1"/>
        <v>1032307.6145356799</v>
      </c>
      <c r="E18" s="785">
        <f t="shared" si="2"/>
        <v>908721.49166873237</v>
      </c>
      <c r="F18" s="758">
        <f t="shared" si="0"/>
        <v>6196.6599095879146</v>
      </c>
      <c r="G18" s="758">
        <f t="shared" si="3"/>
        <v>10150.273218683122</v>
      </c>
      <c r="H18" s="758">
        <f t="shared" si="4"/>
        <v>3953.6133090952071</v>
      </c>
      <c r="I18" s="758">
        <f t="shared" si="5"/>
        <v>10197.232576560247</v>
      </c>
      <c r="J18" s="758">
        <f t="shared" si="6"/>
        <v>4000.5726669723326</v>
      </c>
      <c r="N18" s="784" t="s">
        <v>343</v>
      </c>
      <c r="O18" s="990">
        <f>'GHG - FW Power'!M18</f>
        <v>44805.017992000001</v>
      </c>
      <c r="P18" s="990">
        <f>'GHG - FW Power'!N18</f>
        <v>29870.011994666667</v>
      </c>
      <c r="Q18" s="990">
        <f t="shared" si="7"/>
        <v>1770407.5589286911</v>
      </c>
      <c r="R18" s="990">
        <f t="shared" si="8"/>
        <v>1558457.3582118761</v>
      </c>
      <c r="S18" s="991">
        <f t="shared" si="9"/>
        <v>392357542.55594403</v>
      </c>
      <c r="T18" s="990">
        <f t="shared" si="10"/>
        <v>255032402.66136363</v>
      </c>
      <c r="U18" s="990">
        <f t="shared" si="11"/>
        <v>13325.560690529765</v>
      </c>
      <c r="V18" s="990">
        <f t="shared" si="12"/>
        <v>11168.090790731429</v>
      </c>
      <c r="W18" s="990">
        <f t="shared" si="13"/>
        <v>17407.718570041554</v>
      </c>
      <c r="X18" s="990">
        <f t="shared" si="14"/>
        <v>6239.6277793101253</v>
      </c>
      <c r="Y18" s="992">
        <f t="shared" si="15"/>
        <v>17488.253868800824</v>
      </c>
      <c r="Z18" s="990">
        <f t="shared" si="16"/>
        <v>6320.1630780693959</v>
      </c>
      <c r="AA18" s="990">
        <f t="shared" si="17"/>
        <v>212938189.12024063</v>
      </c>
      <c r="AB18" s="998">
        <f t="shared" si="18"/>
        <v>21119.209596945468</v>
      </c>
      <c r="AC18" s="990">
        <f t="shared" si="19"/>
        <v>226907818.28046399</v>
      </c>
      <c r="AD18" s="990">
        <f t="shared" si="20"/>
        <v>22243.773426033888</v>
      </c>
    </row>
    <row r="19" spans="2:30" x14ac:dyDescent="0.3">
      <c r="B19" s="784" t="s">
        <v>344</v>
      </c>
      <c r="C19" s="758">
        <f>IF('Bioenergy Calculator'!$H$75="No",'Biomass Data Assumptions'!J21,'Biomass Data Assumptions'!F21*'Biomass Data Assumptions'!$I$41)</f>
        <v>61948.433763999994</v>
      </c>
      <c r="D19" s="785">
        <f t="shared" si="1"/>
        <v>1427291.9139225597</v>
      </c>
      <c r="E19" s="785">
        <f t="shared" si="2"/>
        <v>1256418.9383121126</v>
      </c>
      <c r="F19" s="758">
        <f t="shared" si="0"/>
        <v>8567.6424911978011</v>
      </c>
      <c r="G19" s="758">
        <f t="shared" si="3"/>
        <v>14033.997894752914</v>
      </c>
      <c r="H19" s="758">
        <f t="shared" si="4"/>
        <v>5466.3554035551133</v>
      </c>
      <c r="I19" s="758">
        <f t="shared" si="5"/>
        <v>14098.924967688594</v>
      </c>
      <c r="J19" s="758">
        <f t="shared" si="6"/>
        <v>5531.2824764907928</v>
      </c>
      <c r="N19" s="784" t="s">
        <v>344</v>
      </c>
      <c r="O19" s="990">
        <f>'GHG - FW Power'!M19</f>
        <v>61948.433763999994</v>
      </c>
      <c r="P19" s="990">
        <f>'GHG - FW Power'!N19</f>
        <v>41298.955842666663</v>
      </c>
      <c r="Q19" s="990">
        <f t="shared" si="7"/>
        <v>2447805.63237719</v>
      </c>
      <c r="R19" s="990">
        <f t="shared" si="8"/>
        <v>2154758.4792052731</v>
      </c>
      <c r="S19" s="991">
        <f t="shared" si="9"/>
        <v>542482434.47134793</v>
      </c>
      <c r="T19" s="990">
        <f t="shared" si="10"/>
        <v>352613582.40637618</v>
      </c>
      <c r="U19" s="990">
        <f t="shared" si="11"/>
        <v>18424.22234832801</v>
      </c>
      <c r="V19" s="990">
        <f t="shared" si="12"/>
        <v>15441.255547391904</v>
      </c>
      <c r="W19" s="990">
        <f t="shared" si="13"/>
        <v>24068.306389501249</v>
      </c>
      <c r="X19" s="990">
        <f t="shared" si="14"/>
        <v>8627.0508421093455</v>
      </c>
      <c r="Y19" s="992">
        <f t="shared" si="15"/>
        <v>24179.656319585938</v>
      </c>
      <c r="Z19" s="990">
        <f t="shared" si="16"/>
        <v>8738.4007721940343</v>
      </c>
      <c r="AA19" s="990">
        <f t="shared" si="17"/>
        <v>294413168.33968544</v>
      </c>
      <c r="AB19" s="998">
        <f t="shared" si="18"/>
        <v>29199.898035930004</v>
      </c>
      <c r="AC19" s="990">
        <f t="shared" si="19"/>
        <v>313727894.35752249</v>
      </c>
      <c r="AD19" s="990">
        <f t="shared" si="20"/>
        <v>30754.74548386793</v>
      </c>
    </row>
    <row r="20" spans="2:30" x14ac:dyDescent="0.3">
      <c r="B20" s="784" t="s">
        <v>345</v>
      </c>
      <c r="C20" s="758">
        <f>IF('Bioenergy Calculator'!$H$75="No",'Biomass Data Assumptions'!J22,'Biomass Data Assumptions'!F22*'Biomass Data Assumptions'!$I$41)</f>
        <v>53142.955320000001</v>
      </c>
      <c r="D20" s="785">
        <f t="shared" si="1"/>
        <v>1224413.6905727999</v>
      </c>
      <c r="E20" s="785">
        <f t="shared" si="2"/>
        <v>1077828.9529690139</v>
      </c>
      <c r="F20" s="758">
        <f t="shared" si="0"/>
        <v>7349.8200752260454</v>
      </c>
      <c r="G20" s="758">
        <f t="shared" si="3"/>
        <v>12039.176420877304</v>
      </c>
      <c r="H20" s="758">
        <f t="shared" si="4"/>
        <v>4689.3563456512584</v>
      </c>
      <c r="I20" s="758">
        <f t="shared" si="5"/>
        <v>12094.874625439244</v>
      </c>
      <c r="J20" s="758">
        <f t="shared" si="6"/>
        <v>4745.054550213199</v>
      </c>
      <c r="N20" s="784" t="s">
        <v>345</v>
      </c>
      <c r="O20" s="990">
        <f>'GHG - FW Power'!M20</f>
        <v>53142.955320000001</v>
      </c>
      <c r="P20" s="990">
        <f>'GHG - FW Power'!N20</f>
        <v>35428.636879999998</v>
      </c>
      <c r="Q20" s="990">
        <f t="shared" si="7"/>
        <v>2099869.4793323516</v>
      </c>
      <c r="R20" s="990">
        <f t="shared" si="8"/>
        <v>1848476.654341859</v>
      </c>
      <c r="S20" s="991">
        <f t="shared" si="9"/>
        <v>465372859.73724008</v>
      </c>
      <c r="T20" s="990">
        <f t="shared" si="10"/>
        <v>302492358.82920605</v>
      </c>
      <c r="U20" s="990">
        <f t="shared" si="11"/>
        <v>15805.365294512647</v>
      </c>
      <c r="V20" s="990">
        <f t="shared" si="12"/>
        <v>13246.403561483115</v>
      </c>
      <c r="W20" s="990">
        <f t="shared" si="13"/>
        <v>20647.187561804574</v>
      </c>
      <c r="X20" s="990">
        <f t="shared" si="14"/>
        <v>7400.7840003214587</v>
      </c>
      <c r="Y20" s="992">
        <f t="shared" si="15"/>
        <v>20742.709982628305</v>
      </c>
      <c r="Z20" s="990">
        <f t="shared" si="16"/>
        <v>7496.3064211451892</v>
      </c>
      <c r="AA20" s="990">
        <f t="shared" si="17"/>
        <v>252564671.93828988</v>
      </c>
      <c r="AB20" s="998">
        <f t="shared" si="18"/>
        <v>25049.364162839593</v>
      </c>
      <c r="AC20" s="990">
        <f t="shared" si="19"/>
        <v>269133962.86974931</v>
      </c>
      <c r="AD20" s="990">
        <f t="shared" si="20"/>
        <v>26383.202380121525</v>
      </c>
    </row>
    <row r="21" spans="2:30" x14ac:dyDescent="0.3">
      <c r="B21" s="784" t="s">
        <v>346</v>
      </c>
      <c r="C21" s="758">
        <f>IF('Bioenergy Calculator'!$H$75="No",'Biomass Data Assumptions'!J23,'Biomass Data Assumptions'!F23*'Biomass Data Assumptions'!$I$41)</f>
        <v>6334.3374920000015</v>
      </c>
      <c r="D21" s="785">
        <f t="shared" si="1"/>
        <v>145943.13581568003</v>
      </c>
      <c r="E21" s="785">
        <f t="shared" si="2"/>
        <v>128471.07026028172</v>
      </c>
      <c r="F21" s="758">
        <f t="shared" si="0"/>
        <v>876.05667734548206</v>
      </c>
      <c r="G21" s="758">
        <f t="shared" si="3"/>
        <v>1435.0012361255617</v>
      </c>
      <c r="H21" s="758">
        <f t="shared" si="4"/>
        <v>558.94455878007966</v>
      </c>
      <c r="I21" s="758">
        <f t="shared" si="5"/>
        <v>1441.6401447686612</v>
      </c>
      <c r="J21" s="758">
        <f t="shared" si="6"/>
        <v>565.58346742317917</v>
      </c>
      <c r="N21" s="784" t="s">
        <v>346</v>
      </c>
      <c r="O21" s="990">
        <f>'GHG - FW Power'!M21</f>
        <v>6334.3374920000015</v>
      </c>
      <c r="P21" s="990">
        <f>'GHG - FW Power'!N21</f>
        <v>4222.891661333334</v>
      </c>
      <c r="Q21" s="990">
        <f t="shared" si="7"/>
        <v>250292.47792389127</v>
      </c>
      <c r="R21" s="990">
        <f t="shared" si="8"/>
        <v>220327.88549638318</v>
      </c>
      <c r="S21" s="991">
        <f t="shared" si="9"/>
        <v>55469793.417444013</v>
      </c>
      <c r="T21" s="990">
        <f t="shared" si="10"/>
        <v>36055365.721338607</v>
      </c>
      <c r="U21" s="990">
        <f t="shared" si="11"/>
        <v>1883.9094919907272</v>
      </c>
      <c r="V21" s="990">
        <f t="shared" si="12"/>
        <v>1578.8958331055951</v>
      </c>
      <c r="W21" s="990">
        <f t="shared" si="13"/>
        <v>2461.0271199553385</v>
      </c>
      <c r="X21" s="990">
        <f t="shared" si="14"/>
        <v>882.13128684974345</v>
      </c>
      <c r="Y21" s="992">
        <f t="shared" si="15"/>
        <v>2472.4128482782544</v>
      </c>
      <c r="Z21" s="990">
        <f t="shared" si="16"/>
        <v>893.51701517265928</v>
      </c>
      <c r="AA21" s="990">
        <f t="shared" si="17"/>
        <v>30104269.907084092</v>
      </c>
      <c r="AB21" s="998">
        <f t="shared" si="18"/>
        <v>2985.7414893846008</v>
      </c>
      <c r="AC21" s="990">
        <f t="shared" si="19"/>
        <v>32079234.982530314</v>
      </c>
      <c r="AD21" s="990">
        <f t="shared" si="20"/>
        <v>3144.7274053374467</v>
      </c>
    </row>
    <row r="22" spans="2:30" x14ac:dyDescent="0.3">
      <c r="B22" s="784" t="s">
        <v>347</v>
      </c>
      <c r="C22" s="758">
        <f>IF('Bioenergy Calculator'!$H$75="No",'Biomass Data Assumptions'!J24,'Biomass Data Assumptions'!F24*'Biomass Data Assumptions'!$I$41)</f>
        <v>31571.004234</v>
      </c>
      <c r="D22" s="785">
        <f t="shared" si="1"/>
        <v>727395.93755136</v>
      </c>
      <c r="E22" s="785">
        <f t="shared" si="2"/>
        <v>640313.32530929579</v>
      </c>
      <c r="F22" s="758">
        <f t="shared" si="0"/>
        <v>4366.3586136086142</v>
      </c>
      <c r="G22" s="758">
        <f t="shared" si="3"/>
        <v>7152.1970780263782</v>
      </c>
      <c r="H22" s="758">
        <f t="shared" si="4"/>
        <v>2785.838464417764</v>
      </c>
      <c r="I22" s="758">
        <f t="shared" si="5"/>
        <v>7185.2860969088015</v>
      </c>
      <c r="J22" s="758">
        <f t="shared" si="6"/>
        <v>2818.9274833001873</v>
      </c>
      <c r="N22" s="784" t="s">
        <v>347</v>
      </c>
      <c r="O22" s="990">
        <f>'GHG - FW Power'!M22</f>
        <v>31571.004234</v>
      </c>
      <c r="P22" s="990">
        <f>'GHG - FW Power'!N22</f>
        <v>21047.336155999998</v>
      </c>
      <c r="Q22" s="990">
        <f t="shared" si="7"/>
        <v>1247484.0329005823</v>
      </c>
      <c r="R22" s="990">
        <f t="shared" si="8"/>
        <v>1098137.3529054422</v>
      </c>
      <c r="S22" s="991">
        <f t="shared" si="9"/>
        <v>276467284.07713801</v>
      </c>
      <c r="T22" s="990">
        <f t="shared" si="10"/>
        <v>179703734.65013972</v>
      </c>
      <c r="U22" s="990">
        <f t="shared" si="11"/>
        <v>9389.6030363441896</v>
      </c>
      <c r="V22" s="990">
        <f t="shared" si="12"/>
        <v>7869.3828825787632</v>
      </c>
      <c r="W22" s="990">
        <f t="shared" si="13"/>
        <v>12266.017988815238</v>
      </c>
      <c r="X22" s="990">
        <f t="shared" si="14"/>
        <v>4396.6351062364747</v>
      </c>
      <c r="Y22" s="992">
        <f t="shared" si="15"/>
        <v>12322.765656198593</v>
      </c>
      <c r="Z22" s="990">
        <f t="shared" si="16"/>
        <v>4453.38277361983</v>
      </c>
      <c r="AA22" s="990">
        <f t="shared" si="17"/>
        <v>150042847.24304208</v>
      </c>
      <c r="AB22" s="998">
        <f t="shared" si="18"/>
        <v>14881.249589564915</v>
      </c>
      <c r="AC22" s="990">
        <f t="shared" si="19"/>
        <v>159886280.88352337</v>
      </c>
      <c r="AD22" s="990">
        <f t="shared" si="20"/>
        <v>15673.652115011797</v>
      </c>
    </row>
    <row r="23" spans="2:30" x14ac:dyDescent="0.3">
      <c r="B23" s="784" t="s">
        <v>348</v>
      </c>
      <c r="C23" s="758">
        <f>IF('Bioenergy Calculator'!$H$75="No",'Biomass Data Assumptions'!J25,'Biomass Data Assumptions'!F25*'Biomass Data Assumptions'!$I$41)</f>
        <v>11913.24309</v>
      </c>
      <c r="D23" s="785">
        <f t="shared" si="1"/>
        <v>274481.12079359998</v>
      </c>
      <c r="E23" s="785">
        <f t="shared" si="2"/>
        <v>241620.70492394367</v>
      </c>
      <c r="F23" s="758">
        <f t="shared" si="0"/>
        <v>1647.6350006635266</v>
      </c>
      <c r="G23" s="758">
        <f t="shared" si="3"/>
        <v>2698.8644956169796</v>
      </c>
      <c r="H23" s="758">
        <f t="shared" si="4"/>
        <v>1051.229494953453</v>
      </c>
      <c r="I23" s="758">
        <f t="shared" si="5"/>
        <v>2711.3505579111711</v>
      </c>
      <c r="J23" s="758">
        <f t="shared" si="6"/>
        <v>1063.7155572476445</v>
      </c>
      <c r="N23" s="784" t="s">
        <v>348</v>
      </c>
      <c r="O23" s="990">
        <f>'GHG - FW Power'!M23</f>
        <v>11913.24309</v>
      </c>
      <c r="P23" s="990">
        <f>'GHG - FW Power'!N23</f>
        <v>7942.1620600000006</v>
      </c>
      <c r="Q23" s="990">
        <f t="shared" si="7"/>
        <v>470735.12216102402</v>
      </c>
      <c r="R23" s="990">
        <f t="shared" si="8"/>
        <v>414379.50894456345</v>
      </c>
      <c r="S23" s="991">
        <f t="shared" si="9"/>
        <v>104324269.73913001</v>
      </c>
      <c r="T23" s="990">
        <f t="shared" si="10"/>
        <v>67810775.330434501</v>
      </c>
      <c r="U23" s="990">
        <f t="shared" si="11"/>
        <v>3543.1442934622746</v>
      </c>
      <c r="V23" s="990">
        <f t="shared" si="12"/>
        <v>2969.4928470942646</v>
      </c>
      <c r="W23" s="990">
        <f t="shared" si="13"/>
        <v>4628.5526099831204</v>
      </c>
      <c r="X23" s="990">
        <f t="shared" si="14"/>
        <v>1659.0597628888559</v>
      </c>
      <c r="Y23" s="992">
        <f t="shared" si="15"/>
        <v>4649.9662068176594</v>
      </c>
      <c r="Z23" s="990">
        <f t="shared" si="16"/>
        <v>1680.4733597233949</v>
      </c>
      <c r="AA23" s="990">
        <f t="shared" si="17"/>
        <v>56618310.265755638</v>
      </c>
      <c r="AB23" s="998">
        <f t="shared" si="18"/>
        <v>5615.4040121576445</v>
      </c>
      <c r="AC23" s="990">
        <f t="shared" si="19"/>
        <v>60332706.454428278</v>
      </c>
      <c r="AD23" s="990">
        <f t="shared" si="20"/>
        <v>5914.4152137276042</v>
      </c>
    </row>
    <row r="24" spans="2:30" x14ac:dyDescent="0.3">
      <c r="B24" s="784" t="s">
        <v>349</v>
      </c>
      <c r="C24" s="758">
        <f>IF('Bioenergy Calculator'!$H$75="No",'Biomass Data Assumptions'!J26,'Biomass Data Assumptions'!F26*'Biomass Data Assumptions'!$I$41)</f>
        <v>4518.674509999998</v>
      </c>
      <c r="D24" s="785">
        <f t="shared" si="1"/>
        <v>104110.26071039995</v>
      </c>
      <c r="E24" s="785">
        <f t="shared" si="2"/>
        <v>91646.356259154883</v>
      </c>
      <c r="F24" s="758">
        <f t="shared" si="0"/>
        <v>624.94538414410101</v>
      </c>
      <c r="G24" s="758">
        <f t="shared" si="3"/>
        <v>1023.6750908344343</v>
      </c>
      <c r="H24" s="758">
        <f t="shared" si="4"/>
        <v>398.72970669033327</v>
      </c>
      <c r="I24" s="758">
        <f t="shared" si="5"/>
        <v>1028.4110347745352</v>
      </c>
      <c r="J24" s="758">
        <f t="shared" si="6"/>
        <v>403.4656506304342</v>
      </c>
      <c r="N24" s="784" t="s">
        <v>349</v>
      </c>
      <c r="O24" s="990">
        <f>'GHG - FW Power'!M24</f>
        <v>4518.674509999998</v>
      </c>
      <c r="P24" s="990">
        <f>'GHG - FW Power'!N24</f>
        <v>3012.4496733333317</v>
      </c>
      <c r="Q24" s="990">
        <f t="shared" si="7"/>
        <v>178549.09711833589</v>
      </c>
      <c r="R24" s="990">
        <f t="shared" si="8"/>
        <v>157173.50098445063</v>
      </c>
      <c r="S24" s="991">
        <f t="shared" si="9"/>
        <v>39570032.684069984</v>
      </c>
      <c r="T24" s="990">
        <f t="shared" si="10"/>
        <v>25720521.244645491</v>
      </c>
      <c r="U24" s="990">
        <f t="shared" si="11"/>
        <v>1343.9091004160757</v>
      </c>
      <c r="V24" s="990">
        <f t="shared" si="12"/>
        <v>1126.3240021565089</v>
      </c>
      <c r="W24" s="990">
        <f t="shared" si="13"/>
        <v>1755.6027807810547</v>
      </c>
      <c r="X24" s="990">
        <f t="shared" si="14"/>
        <v>629.27877862454579</v>
      </c>
      <c r="Y24" s="992">
        <f t="shared" si="15"/>
        <v>1763.724924638328</v>
      </c>
      <c r="Z24" s="990">
        <f t="shared" si="16"/>
        <v>637.40092248181918</v>
      </c>
      <c r="AA24" s="990">
        <f t="shared" si="17"/>
        <v>21475236.714668699</v>
      </c>
      <c r="AB24" s="998">
        <f t="shared" si="18"/>
        <v>2129.9139773608417</v>
      </c>
      <c r="AC24" s="990">
        <f t="shared" si="19"/>
        <v>22884101.391650304</v>
      </c>
      <c r="AD24" s="990">
        <f t="shared" si="20"/>
        <v>2243.3284594234797</v>
      </c>
    </row>
    <row r="25" spans="2:30" ht="15" thickBot="1" x14ac:dyDescent="0.35">
      <c r="B25" s="786" t="s">
        <v>350</v>
      </c>
      <c r="C25" s="787">
        <f>IF('Bioenergy Calculator'!$H$75="No",'Biomass Data Assumptions'!J27,'Biomass Data Assumptions'!F27*'Biomass Data Assumptions'!$I$41)</f>
        <v>2363.0571299999992</v>
      </c>
      <c r="D25" s="788">
        <f t="shared" si="1"/>
        <v>54444.836275199981</v>
      </c>
      <c r="E25" s="788">
        <f t="shared" si="2"/>
        <v>47926.792495774636</v>
      </c>
      <c r="F25" s="787">
        <f t="shared" si="0"/>
        <v>326.81744228183129</v>
      </c>
      <c r="G25" s="787">
        <f t="shared" si="3"/>
        <v>535.33458027268</v>
      </c>
      <c r="H25" s="787">
        <f t="shared" si="4"/>
        <v>208.51713799084871</v>
      </c>
      <c r="I25" s="758">
        <f t="shared" si="5"/>
        <v>537.8112592346564</v>
      </c>
      <c r="J25" s="758">
        <f t="shared" si="6"/>
        <v>210.99381695282511</v>
      </c>
      <c r="N25" s="786" t="s">
        <v>350</v>
      </c>
      <c r="O25" s="990">
        <f>'GHG - FW Power'!M25</f>
        <v>2363.0571299999992</v>
      </c>
      <c r="P25" s="990">
        <f>'GHG - FW Power'!N25</f>
        <v>1575.3714199999995</v>
      </c>
      <c r="Q25" s="990">
        <f t="shared" si="7"/>
        <v>93372.89421196797</v>
      </c>
      <c r="R25" s="990">
        <f t="shared" si="8"/>
        <v>82194.449130253503</v>
      </c>
      <c r="S25" s="991">
        <f t="shared" si="9"/>
        <v>20693291.287409995</v>
      </c>
      <c r="T25" s="990">
        <f t="shared" si="10"/>
        <v>13450639.336816497</v>
      </c>
      <c r="U25" s="990">
        <f t="shared" si="11"/>
        <v>702.80211039367259</v>
      </c>
      <c r="V25" s="990">
        <f t="shared" si="12"/>
        <v>589.01519861541749</v>
      </c>
      <c r="W25" s="990">
        <f t="shared" si="13"/>
        <v>918.09880516764622</v>
      </c>
      <c r="X25" s="990">
        <f t="shared" si="14"/>
        <v>329.08360655222873</v>
      </c>
      <c r="Y25" s="992">
        <f t="shared" si="15"/>
        <v>922.34630958743583</v>
      </c>
      <c r="Z25" s="990">
        <f t="shared" si="16"/>
        <v>333.33111097201834</v>
      </c>
      <c r="AA25" s="990">
        <f t="shared" si="17"/>
        <v>11230552.482753545</v>
      </c>
      <c r="AB25" s="998">
        <f t="shared" si="18"/>
        <v>1113.8461952394966</v>
      </c>
      <c r="AC25" s="990">
        <f t="shared" si="19"/>
        <v>11967323.346151389</v>
      </c>
      <c r="AD25" s="990">
        <f t="shared" si="20"/>
        <v>1173.1567076232207</v>
      </c>
    </row>
    <row r="26" spans="2:30" ht="15" thickTop="1" x14ac:dyDescent="0.3">
      <c r="B26" s="789" t="s">
        <v>351</v>
      </c>
      <c r="C26" s="790">
        <f>SUM(C5:C25)</f>
        <v>704611.81300999993</v>
      </c>
      <c r="D26" s="790">
        <f>SUM(D5:D25)</f>
        <v>16234256.171750398</v>
      </c>
      <c r="E26" s="790">
        <f>SUM(E5:E25)</f>
        <v>14290718.46104789</v>
      </c>
      <c r="F26" s="790">
        <f t="shared" ref="F26:H26" si="21">SUM(F5:F25)</f>
        <v>97449.794000322043</v>
      </c>
      <c r="G26" s="790">
        <f t="shared" si="21"/>
        <v>165712.44229926023</v>
      </c>
      <c r="H26" s="790">
        <f t="shared" si="21"/>
        <v>68262.648298938162</v>
      </c>
      <c r="I26" s="917">
        <f>SUM(I5:I25)</f>
        <v>160363.52300400048</v>
      </c>
      <c r="J26" s="917">
        <f>SUM(J5:J25)</f>
        <v>62913.729003678476</v>
      </c>
      <c r="N26" s="789" t="s">
        <v>351</v>
      </c>
      <c r="O26" s="990">
        <f t="shared" ref="O26:X26" si="22">SUM(O5:O25)</f>
        <v>704611.81300999993</v>
      </c>
      <c r="P26" s="990">
        <f t="shared" si="22"/>
        <v>469741.20867333328</v>
      </c>
      <c r="Q26" s="996">
        <f t="shared" si="22"/>
        <v>27841749.334551938</v>
      </c>
      <c r="R26" s="996">
        <f t="shared" si="22"/>
        <v>24508582.160697117</v>
      </c>
      <c r="S26" s="990">
        <f t="shared" si="22"/>
        <v>6170285646.5285702</v>
      </c>
      <c r="T26" s="990">
        <f t="shared" si="22"/>
        <v>4010685670.2435708</v>
      </c>
      <c r="U26" s="990">
        <f t="shared" si="22"/>
        <v>209560.17647856867</v>
      </c>
      <c r="V26" s="990">
        <f t="shared" si="22"/>
        <v>175631.41479649904</v>
      </c>
      <c r="W26" s="990">
        <f t="shared" si="22"/>
        <v>273756.929284012</v>
      </c>
      <c r="X26" s="990">
        <f t="shared" si="22"/>
        <v>98125.514487512846</v>
      </c>
      <c r="Y26" s="990">
        <f t="shared" ref="Y26:AD26" si="23">SUM(Y5:Y25)</f>
        <v>275023.44195186091</v>
      </c>
      <c r="Z26" s="990">
        <f t="shared" si="23"/>
        <v>99392.027155361866</v>
      </c>
      <c r="AA26" s="990">
        <f t="shared" si="23"/>
        <v>3348704458.100399</v>
      </c>
      <c r="AB26" s="997">
        <f t="shared" si="23"/>
        <v>332124.50815439766</v>
      </c>
      <c r="AC26" s="996">
        <f t="shared" si="23"/>
        <v>3568393371.7711816</v>
      </c>
      <c r="AD26" s="996">
        <f t="shared" si="23"/>
        <v>349809.60223472904</v>
      </c>
    </row>
    <row r="28" spans="2:30" x14ac:dyDescent="0.3">
      <c r="B28" s="725" t="s">
        <v>1087</v>
      </c>
      <c r="C28" s="723"/>
      <c r="D28" s="723"/>
      <c r="E28" s="723"/>
      <c r="F28" s="723"/>
      <c r="G28" s="723"/>
      <c r="H28" s="723"/>
      <c r="I28" s="723"/>
      <c r="J28" s="723"/>
      <c r="K28" s="723"/>
      <c r="L28" s="723"/>
      <c r="M28" s="723"/>
      <c r="N28" s="723"/>
      <c r="O28" s="723"/>
    </row>
    <row r="29" spans="2:30" x14ac:dyDescent="0.3">
      <c r="B29" s="726" t="s">
        <v>1099</v>
      </c>
      <c r="C29" s="723"/>
      <c r="D29" s="723"/>
      <c r="E29" s="723"/>
      <c r="F29" s="723"/>
      <c r="G29" s="723"/>
      <c r="H29" s="723"/>
      <c r="I29" s="723"/>
      <c r="J29" s="723"/>
      <c r="K29" s="723"/>
      <c r="L29" s="723"/>
      <c r="M29" s="723"/>
      <c r="N29" s="723"/>
      <c r="O29" s="723"/>
      <c r="W29" s="995" t="s">
        <v>1511</v>
      </c>
      <c r="Y29" s="995" t="s">
        <v>1515</v>
      </c>
      <c r="AC29" s="995" t="s">
        <v>1521</v>
      </c>
    </row>
    <row r="30" spans="2:30" x14ac:dyDescent="0.3">
      <c r="B30" s="726" t="s">
        <v>1275</v>
      </c>
      <c r="C30" s="723"/>
      <c r="D30" s="723"/>
      <c r="E30" s="723"/>
      <c r="F30" s="723"/>
      <c r="G30" s="723"/>
      <c r="H30" s="723"/>
      <c r="I30" s="723"/>
      <c r="J30" s="723"/>
      <c r="K30" s="723"/>
      <c r="L30" s="723"/>
      <c r="M30" s="723"/>
      <c r="N30" s="723"/>
      <c r="O30" s="723"/>
      <c r="W30" s="995" t="s">
        <v>1516</v>
      </c>
    </row>
    <row r="31" spans="2:30" x14ac:dyDescent="0.3">
      <c r="B31" s="726" t="s">
        <v>1276</v>
      </c>
      <c r="C31" s="723"/>
      <c r="D31" s="723"/>
      <c r="E31" s="723"/>
      <c r="F31" s="723"/>
      <c r="G31" s="723"/>
      <c r="H31" s="723"/>
      <c r="I31" s="723"/>
      <c r="J31" s="723"/>
      <c r="K31" s="723"/>
      <c r="L31" s="723"/>
      <c r="M31" s="723"/>
      <c r="N31" s="723"/>
      <c r="O31" s="723"/>
      <c r="W31" s="995" t="s">
        <v>1517</v>
      </c>
    </row>
    <row r="32" spans="2:30" x14ac:dyDescent="0.3">
      <c r="B32" s="726" t="s">
        <v>1277</v>
      </c>
      <c r="C32" s="723"/>
      <c r="D32" s="723"/>
      <c r="E32" s="723"/>
      <c r="F32" s="723"/>
      <c r="G32" s="723"/>
      <c r="H32" s="723"/>
      <c r="I32" s="723"/>
      <c r="J32" s="723"/>
      <c r="K32" s="723"/>
      <c r="L32" s="723"/>
      <c r="M32" s="723"/>
      <c r="N32" s="723"/>
      <c r="O32" s="723"/>
    </row>
    <row r="33" spans="2:23" x14ac:dyDescent="0.3">
      <c r="B33" s="726"/>
      <c r="C33" s="723"/>
      <c r="D33" s="723"/>
      <c r="E33" s="723"/>
      <c r="F33" s="723"/>
      <c r="G33" s="723"/>
      <c r="H33" s="723"/>
      <c r="I33" s="723"/>
      <c r="J33" s="723"/>
      <c r="K33" s="723"/>
      <c r="L33" s="723"/>
      <c r="M33" s="723"/>
      <c r="N33" s="723"/>
      <c r="O33" s="723"/>
      <c r="W33" s="995" t="s">
        <v>1519</v>
      </c>
    </row>
    <row r="34" spans="2:23" x14ac:dyDescent="0.3">
      <c r="B34" s="725" t="s">
        <v>1193</v>
      </c>
      <c r="C34" s="726"/>
      <c r="D34" s="723"/>
      <c r="E34" s="723"/>
      <c r="F34" s="723"/>
      <c r="G34" s="723"/>
      <c r="H34" s="723"/>
      <c r="I34" s="723"/>
      <c r="J34" s="723"/>
      <c r="K34" s="723"/>
      <c r="L34" s="723"/>
      <c r="M34" s="723"/>
      <c r="N34" s="723"/>
      <c r="O34" s="723"/>
      <c r="W34" s="995" t="s">
        <v>1520</v>
      </c>
    </row>
    <row r="35" spans="2:23" x14ac:dyDescent="0.3">
      <c r="B35" s="726" t="s">
        <v>1198</v>
      </c>
      <c r="C35" s="726"/>
      <c r="D35" s="723"/>
      <c r="E35" s="723"/>
      <c r="F35" s="723"/>
      <c r="G35" s="723"/>
      <c r="H35" s="723"/>
      <c r="I35" s="723"/>
      <c r="J35" s="723"/>
      <c r="K35" s="723"/>
      <c r="L35" s="723"/>
      <c r="M35" s="723"/>
      <c r="N35" s="723"/>
      <c r="O35" s="723"/>
    </row>
    <row r="36" spans="2:23" x14ac:dyDescent="0.3">
      <c r="B36" s="726" t="s">
        <v>1278</v>
      </c>
      <c r="C36" s="723"/>
      <c r="D36" s="723"/>
      <c r="E36" s="723"/>
      <c r="F36" s="723"/>
      <c r="G36" s="723"/>
      <c r="H36" s="723"/>
      <c r="I36" s="723"/>
      <c r="J36" s="723"/>
      <c r="K36" s="723"/>
      <c r="L36" s="723"/>
      <c r="M36" s="723"/>
      <c r="N36" s="723"/>
      <c r="O36" s="723"/>
    </row>
    <row r="37" spans="2:23" x14ac:dyDescent="0.3">
      <c r="B37" s="726"/>
      <c r="C37" s="725"/>
      <c r="D37" s="723"/>
      <c r="E37" s="723"/>
      <c r="F37" s="723"/>
      <c r="G37" s="723"/>
      <c r="H37" s="723"/>
      <c r="I37" s="723"/>
      <c r="J37" s="723"/>
      <c r="K37" s="723"/>
      <c r="L37" s="723"/>
      <c r="M37" s="723"/>
      <c r="N37" s="723"/>
      <c r="O37" s="723"/>
    </row>
    <row r="38" spans="2:23" ht="15" x14ac:dyDescent="0.35">
      <c r="B38" s="725" t="s">
        <v>1266</v>
      </c>
      <c r="C38" s="725"/>
      <c r="D38" s="723"/>
      <c r="E38" s="723"/>
      <c r="F38" s="723"/>
      <c r="G38" s="723"/>
      <c r="H38" s="723"/>
      <c r="I38" s="723"/>
      <c r="J38" s="723"/>
      <c r="K38" s="723"/>
      <c r="L38" s="723"/>
      <c r="M38" s="723"/>
      <c r="N38" s="723"/>
      <c r="O38" s="723"/>
    </row>
    <row r="39" spans="2:23" x14ac:dyDescent="0.3">
      <c r="B39" s="726" t="s">
        <v>1124</v>
      </c>
      <c r="C39" s="723"/>
      <c r="D39" s="723"/>
      <c r="E39" s="723"/>
      <c r="F39" s="723"/>
      <c r="G39" s="723"/>
      <c r="H39" s="723"/>
      <c r="I39" s="723"/>
      <c r="J39" s="723"/>
      <c r="K39" s="723"/>
      <c r="L39" s="723"/>
      <c r="M39" s="723"/>
      <c r="N39" s="723"/>
      <c r="O39" s="723"/>
    </row>
    <row r="40" spans="2:23" x14ac:dyDescent="0.3">
      <c r="B40" s="726" t="s">
        <v>1279</v>
      </c>
      <c r="C40" s="723"/>
      <c r="D40" s="723"/>
      <c r="E40" s="723"/>
      <c r="F40" s="723"/>
      <c r="G40" s="723"/>
      <c r="H40" s="723"/>
      <c r="I40" s="723"/>
      <c r="J40" s="723"/>
      <c r="K40" s="723"/>
      <c r="L40" s="723"/>
      <c r="M40" s="723"/>
      <c r="N40" s="723"/>
      <c r="O40" s="723"/>
    </row>
    <row r="41" spans="2:23" x14ac:dyDescent="0.3">
      <c r="B41" s="726" t="s">
        <v>1126</v>
      </c>
      <c r="C41" s="723"/>
      <c r="D41" s="723"/>
      <c r="E41" s="723"/>
      <c r="F41" s="723"/>
      <c r="G41" s="723"/>
      <c r="H41" s="723"/>
      <c r="I41" s="723"/>
      <c r="J41" s="723"/>
      <c r="K41" s="723"/>
      <c r="L41" s="723"/>
      <c r="M41" s="723"/>
      <c r="N41" s="723"/>
      <c r="O41" s="723"/>
    </row>
    <row r="42" spans="2:23" ht="15" x14ac:dyDescent="0.35">
      <c r="B42" s="726" t="s">
        <v>1268</v>
      </c>
      <c r="C42" s="723"/>
      <c r="D42" s="723"/>
      <c r="E42" s="723"/>
      <c r="F42" s="723"/>
      <c r="G42" s="723"/>
      <c r="H42" s="723"/>
      <c r="I42" s="723"/>
      <c r="J42" s="723"/>
      <c r="K42" s="723"/>
      <c r="L42" s="723"/>
      <c r="M42" s="723"/>
      <c r="N42" s="723"/>
      <c r="O42" s="723"/>
    </row>
    <row r="43" spans="2:23" x14ac:dyDescent="0.3">
      <c r="B43" s="726" t="s">
        <v>1077</v>
      </c>
      <c r="C43" s="723"/>
      <c r="D43" s="723"/>
      <c r="E43" s="723"/>
      <c r="F43" s="723"/>
      <c r="G43" s="723"/>
      <c r="H43" s="723"/>
      <c r="I43" s="723"/>
      <c r="J43" s="723"/>
      <c r="K43" s="723"/>
      <c r="L43" s="723"/>
      <c r="M43" s="723"/>
      <c r="N43" s="723"/>
      <c r="O43" s="723"/>
    </row>
    <row r="44" spans="2:23" x14ac:dyDescent="0.3">
      <c r="B44" s="726" t="s">
        <v>1075</v>
      </c>
      <c r="C44" s="723"/>
      <c r="D44" s="723"/>
      <c r="E44" s="723"/>
      <c r="F44" s="723"/>
      <c r="G44" s="723"/>
      <c r="H44" s="723"/>
      <c r="I44" s="723"/>
      <c r="J44" s="723"/>
      <c r="K44" s="723"/>
      <c r="L44" s="723"/>
      <c r="M44" s="723"/>
      <c r="N44" s="723"/>
      <c r="O44" s="723"/>
    </row>
    <row r="45" spans="2:23" x14ac:dyDescent="0.3">
      <c r="B45" s="726"/>
      <c r="C45" s="723"/>
      <c r="D45" s="723"/>
      <c r="E45" s="723"/>
      <c r="F45" s="723"/>
      <c r="G45" s="723"/>
      <c r="H45" s="723"/>
      <c r="I45" s="723"/>
      <c r="J45" s="723"/>
      <c r="K45" s="723"/>
      <c r="L45" s="723"/>
      <c r="M45" s="723"/>
      <c r="N45" s="723"/>
      <c r="O45" s="723"/>
    </row>
    <row r="46" spans="2:23" ht="15" x14ac:dyDescent="0.35">
      <c r="B46" s="725" t="s">
        <v>1249</v>
      </c>
      <c r="C46" s="723"/>
      <c r="D46" s="723"/>
      <c r="E46" s="723"/>
      <c r="F46" s="723"/>
      <c r="G46" s="723"/>
      <c r="H46" s="723"/>
      <c r="I46" s="723"/>
      <c r="J46" s="723"/>
      <c r="K46" s="723"/>
      <c r="L46" s="723"/>
      <c r="M46" s="723"/>
      <c r="N46" s="723"/>
      <c r="O46" s="723"/>
    </row>
    <row r="47" spans="2:23" x14ac:dyDescent="0.3">
      <c r="B47" s="726" t="s">
        <v>1088</v>
      </c>
      <c r="C47" s="723"/>
      <c r="D47" s="723"/>
      <c r="E47" s="723"/>
      <c r="F47" s="723"/>
      <c r="G47" s="723"/>
      <c r="H47" s="723"/>
      <c r="I47" s="723"/>
      <c r="J47" s="723"/>
      <c r="K47" s="723"/>
      <c r="L47" s="723"/>
      <c r="M47" s="723"/>
      <c r="N47" s="723"/>
      <c r="O47" s="723"/>
    </row>
    <row r="48" spans="2:23" ht="15" x14ac:dyDescent="0.35">
      <c r="B48" s="726" t="s">
        <v>1280</v>
      </c>
      <c r="C48" s="723"/>
      <c r="D48" s="723"/>
      <c r="E48" s="723"/>
      <c r="F48" s="723"/>
      <c r="G48" s="723"/>
      <c r="H48" s="723"/>
      <c r="I48" s="723"/>
      <c r="J48" s="723"/>
      <c r="K48" s="723"/>
      <c r="L48" s="723"/>
      <c r="M48" s="723"/>
      <c r="N48" s="723"/>
      <c r="O48" s="723"/>
    </row>
    <row r="49" spans="2:17" x14ac:dyDescent="0.3">
      <c r="B49" s="726" t="s">
        <v>1096</v>
      </c>
      <c r="C49" s="723"/>
      <c r="D49" s="723"/>
      <c r="E49" s="723"/>
      <c r="F49" s="723"/>
      <c r="G49" s="723"/>
      <c r="H49" s="723"/>
      <c r="I49" s="723"/>
      <c r="J49" s="723"/>
      <c r="K49" s="723"/>
      <c r="L49" s="723"/>
      <c r="M49" s="723"/>
      <c r="N49" s="723"/>
      <c r="O49" s="723"/>
    </row>
    <row r="50" spans="2:17" x14ac:dyDescent="0.3">
      <c r="B50" s="726"/>
      <c r="C50" s="723"/>
      <c r="D50" s="723"/>
      <c r="E50" s="723"/>
      <c r="F50" s="723"/>
      <c r="G50" s="723"/>
      <c r="H50" s="723"/>
      <c r="I50" s="723"/>
      <c r="J50" s="723"/>
      <c r="K50" s="723"/>
      <c r="L50" s="723"/>
      <c r="M50" s="723"/>
      <c r="N50" s="723"/>
      <c r="O50" s="723"/>
    </row>
    <row r="51" spans="2:17" ht="15" x14ac:dyDescent="0.35">
      <c r="B51" s="726" t="s">
        <v>1281</v>
      </c>
      <c r="C51" s="726"/>
      <c r="D51" s="726"/>
      <c r="E51" s="726"/>
      <c r="F51" s="726"/>
      <c r="G51" s="726"/>
      <c r="H51" s="726"/>
      <c r="I51" s="726"/>
      <c r="J51" s="726"/>
      <c r="K51" s="726"/>
      <c r="L51" s="726"/>
      <c r="M51" s="726"/>
      <c r="N51" s="726"/>
      <c r="O51" s="726"/>
    </row>
    <row r="52" spans="2:17" ht="15" x14ac:dyDescent="0.35">
      <c r="B52" s="728" t="s">
        <v>1080</v>
      </c>
      <c r="C52" s="729" t="s">
        <v>1270</v>
      </c>
      <c r="D52" s="729"/>
      <c r="E52" s="729"/>
      <c r="F52" s="729"/>
      <c r="G52" s="729"/>
      <c r="H52" s="729"/>
      <c r="I52" s="729"/>
      <c r="J52" s="729"/>
      <c r="K52" s="729"/>
      <c r="L52" s="729"/>
      <c r="M52" s="729"/>
      <c r="N52" s="729"/>
      <c r="O52" s="730"/>
      <c r="P52" s="665"/>
      <c r="Q52" s="665"/>
    </row>
    <row r="53" spans="2:17" x14ac:dyDescent="0.3">
      <c r="B53" s="733"/>
      <c r="C53" s="734"/>
      <c r="D53" s="734"/>
      <c r="E53" s="734"/>
      <c r="F53" s="734"/>
      <c r="G53" s="734"/>
      <c r="H53" s="734"/>
      <c r="I53" s="734"/>
      <c r="J53" s="734"/>
      <c r="K53" s="734"/>
      <c r="L53" s="734"/>
      <c r="M53" s="734"/>
      <c r="N53" s="734"/>
      <c r="O53" s="735"/>
      <c r="P53" s="665"/>
      <c r="Q53" s="665"/>
    </row>
    <row r="54" spans="2:17" x14ac:dyDescent="0.3">
      <c r="B54" s="736" t="s">
        <v>1081</v>
      </c>
      <c r="C54" s="737"/>
      <c r="D54" s="734"/>
      <c r="E54" s="734"/>
      <c r="F54" s="734"/>
      <c r="G54" s="734"/>
      <c r="H54" s="734"/>
      <c r="I54" s="734"/>
      <c r="J54" s="734"/>
      <c r="K54" s="734"/>
      <c r="L54" s="734"/>
      <c r="M54" s="734"/>
      <c r="N54" s="734"/>
      <c r="O54" s="735"/>
      <c r="P54" s="665"/>
      <c r="Q54" s="665"/>
    </row>
    <row r="55" spans="2:17" x14ac:dyDescent="0.3">
      <c r="B55" s="736"/>
      <c r="C55" s="737" t="s">
        <v>1127</v>
      </c>
      <c r="D55" s="734"/>
      <c r="E55" s="734"/>
      <c r="F55" s="734"/>
      <c r="G55" s="734"/>
      <c r="H55" s="734"/>
      <c r="I55" s="734"/>
      <c r="J55" s="734"/>
      <c r="K55" s="734"/>
      <c r="L55" s="734"/>
      <c r="M55" s="734"/>
      <c r="N55" s="734"/>
      <c r="O55" s="735"/>
      <c r="P55" s="665"/>
      <c r="Q55" s="665"/>
    </row>
    <row r="56" spans="2:17" x14ac:dyDescent="0.3">
      <c r="B56" s="736" t="s">
        <v>1083</v>
      </c>
      <c r="C56" s="737"/>
      <c r="D56" s="734"/>
      <c r="E56" s="734"/>
      <c r="F56" s="734"/>
      <c r="G56" s="734"/>
      <c r="H56" s="734"/>
      <c r="I56" s="734"/>
      <c r="J56" s="734"/>
      <c r="K56" s="734"/>
      <c r="L56" s="734"/>
      <c r="M56" s="734"/>
      <c r="N56" s="734"/>
      <c r="O56" s="735"/>
      <c r="P56" s="665"/>
      <c r="Q56" s="665"/>
    </row>
    <row r="57" spans="2:17" x14ac:dyDescent="0.3">
      <c r="B57" s="736"/>
      <c r="C57" s="737" t="s">
        <v>1128</v>
      </c>
      <c r="D57" s="734"/>
      <c r="E57" s="734"/>
      <c r="F57" s="734"/>
      <c r="G57" s="734"/>
      <c r="H57" s="734"/>
      <c r="I57" s="734"/>
      <c r="J57" s="734"/>
      <c r="K57" s="734"/>
      <c r="L57" s="734"/>
      <c r="M57" s="734"/>
      <c r="N57" s="734"/>
      <c r="O57" s="735"/>
      <c r="P57" s="665"/>
      <c r="Q57" s="665"/>
    </row>
    <row r="58" spans="2:17" ht="15" x14ac:dyDescent="0.35">
      <c r="B58" s="736" t="s">
        <v>1234</v>
      </c>
      <c r="C58" s="737"/>
      <c r="D58" s="734"/>
      <c r="E58" s="734"/>
      <c r="F58" s="734"/>
      <c r="G58" s="734"/>
      <c r="H58" s="734"/>
      <c r="I58" s="734"/>
      <c r="J58" s="734"/>
      <c r="K58" s="734"/>
      <c r="L58" s="734"/>
      <c r="M58" s="734"/>
      <c r="N58" s="734"/>
      <c r="O58" s="735"/>
      <c r="P58" s="665"/>
      <c r="Q58" s="665"/>
    </row>
    <row r="59" spans="2:17" ht="15" x14ac:dyDescent="0.35">
      <c r="B59" s="736"/>
      <c r="C59" s="737" t="s">
        <v>1271</v>
      </c>
      <c r="D59" s="734"/>
      <c r="E59" s="734"/>
      <c r="F59" s="734"/>
      <c r="G59" s="734"/>
      <c r="H59" s="734"/>
      <c r="I59" s="734"/>
      <c r="J59" s="734"/>
      <c r="K59" s="734"/>
      <c r="L59" s="734"/>
      <c r="M59" s="734"/>
      <c r="N59" s="734"/>
      <c r="O59" s="735"/>
      <c r="P59" s="665"/>
      <c r="Q59" s="665"/>
    </row>
    <row r="60" spans="2:17" ht="15" x14ac:dyDescent="0.35">
      <c r="B60" s="738" t="s">
        <v>1236</v>
      </c>
      <c r="C60" s="739"/>
      <c r="D60" s="739"/>
      <c r="E60" s="739"/>
      <c r="F60" s="739"/>
      <c r="G60" s="739"/>
      <c r="H60" s="739"/>
      <c r="I60" s="739"/>
      <c r="J60" s="739"/>
      <c r="K60" s="739"/>
      <c r="L60" s="739"/>
      <c r="M60" s="739"/>
      <c r="N60" s="739"/>
      <c r="O60" s="740"/>
      <c r="P60" s="665"/>
      <c r="Q60" s="665"/>
    </row>
    <row r="61" spans="2:17" x14ac:dyDescent="0.3">
      <c r="B61" s="723"/>
      <c r="C61" s="723"/>
      <c r="D61" s="723"/>
      <c r="E61" s="723"/>
      <c r="F61" s="723"/>
      <c r="G61" s="723"/>
      <c r="H61" s="723"/>
      <c r="I61" s="723"/>
      <c r="J61" s="723"/>
      <c r="K61" s="723"/>
      <c r="L61" s="723"/>
      <c r="M61" s="723"/>
      <c r="N61" s="723"/>
      <c r="O61" s="723"/>
    </row>
    <row r="62" spans="2:17" x14ac:dyDescent="0.3">
      <c r="B62" s="726" t="s">
        <v>1085</v>
      </c>
      <c r="C62" s="723"/>
      <c r="D62" s="723"/>
      <c r="E62" s="723"/>
      <c r="F62" s="723"/>
      <c r="G62" s="723"/>
      <c r="H62" s="723"/>
      <c r="I62" s="723"/>
      <c r="J62" s="723"/>
      <c r="K62" s="723"/>
      <c r="L62" s="723"/>
      <c r="M62" s="723"/>
      <c r="N62" s="723"/>
      <c r="O62" s="723"/>
    </row>
    <row r="63" spans="2:17" x14ac:dyDescent="0.3">
      <c r="B63" s="726" t="s">
        <v>1282</v>
      </c>
      <c r="C63" s="723"/>
      <c r="D63" s="723"/>
      <c r="E63" s="723"/>
      <c r="F63" s="723"/>
      <c r="G63" s="723"/>
      <c r="H63" s="723"/>
      <c r="I63" s="723"/>
      <c r="J63" s="723"/>
      <c r="K63" s="723"/>
      <c r="L63" s="723"/>
      <c r="M63" s="723"/>
      <c r="N63" s="723"/>
      <c r="O63" s="723"/>
    </row>
    <row r="64" spans="2:17" x14ac:dyDescent="0.3">
      <c r="B64" s="726" t="s">
        <v>1283</v>
      </c>
      <c r="C64" s="723"/>
      <c r="D64" s="723"/>
      <c r="E64" s="723"/>
      <c r="F64" s="723"/>
      <c r="G64" s="723"/>
      <c r="H64" s="723"/>
      <c r="I64" s="723"/>
      <c r="J64" s="723"/>
      <c r="K64" s="723"/>
      <c r="L64" s="723"/>
      <c r="M64" s="723"/>
      <c r="N64" s="723"/>
      <c r="O64" s="723"/>
    </row>
    <row r="65" spans="2:15" x14ac:dyDescent="0.3">
      <c r="B65" s="726" t="s">
        <v>1284</v>
      </c>
      <c r="C65" s="723"/>
      <c r="D65" s="723"/>
      <c r="E65" s="723"/>
      <c r="F65" s="723"/>
      <c r="G65" s="723"/>
      <c r="H65" s="723"/>
      <c r="I65" s="723"/>
      <c r="J65" s="723"/>
      <c r="K65" s="723"/>
      <c r="L65" s="723"/>
      <c r="M65" s="723"/>
      <c r="N65" s="723"/>
      <c r="O65" s="723"/>
    </row>
    <row r="66" spans="2:15" x14ac:dyDescent="0.3">
      <c r="B66" s="726" t="s">
        <v>1285</v>
      </c>
      <c r="C66" s="723"/>
      <c r="D66" s="723"/>
      <c r="E66" s="723"/>
      <c r="F66" s="723"/>
      <c r="G66" s="723"/>
      <c r="H66" s="723"/>
      <c r="I66" s="723"/>
      <c r="J66" s="723"/>
      <c r="K66" s="723"/>
      <c r="L66" s="723"/>
      <c r="M66" s="723"/>
      <c r="N66" s="723"/>
      <c r="O66" s="723"/>
    </row>
    <row r="67" spans="2:15" x14ac:dyDescent="0.3">
      <c r="B67" s="726" t="s">
        <v>1286</v>
      </c>
      <c r="C67" s="723"/>
      <c r="D67" s="723"/>
      <c r="E67" s="723"/>
      <c r="F67" s="723"/>
      <c r="G67" s="723"/>
      <c r="H67" s="723"/>
      <c r="I67" s="723"/>
      <c r="J67" s="723"/>
      <c r="K67" s="723"/>
      <c r="L67" s="723"/>
      <c r="M67" s="723"/>
      <c r="N67" s="723"/>
      <c r="O67" s="723"/>
    </row>
    <row r="68" spans="2:15" x14ac:dyDescent="0.3">
      <c r="B68" s="726" t="s">
        <v>1287</v>
      </c>
      <c r="C68" s="723"/>
      <c r="D68" s="723"/>
      <c r="E68" s="723"/>
      <c r="F68" s="723"/>
      <c r="G68" s="723"/>
      <c r="H68" s="723"/>
      <c r="I68" s="723"/>
      <c r="J68" s="723"/>
      <c r="K68" s="723"/>
      <c r="L68" s="723"/>
      <c r="M68" s="723"/>
      <c r="N68" s="723"/>
      <c r="O68" s="723"/>
    </row>
    <row r="69" spans="2:15" x14ac:dyDescent="0.3">
      <c r="B69" s="726" t="s">
        <v>1288</v>
      </c>
      <c r="C69" s="723"/>
      <c r="D69" s="723"/>
      <c r="E69" s="723"/>
      <c r="F69" s="723"/>
      <c r="G69" s="723"/>
      <c r="H69" s="723"/>
      <c r="I69" s="723"/>
      <c r="J69" s="723"/>
      <c r="K69" s="723"/>
      <c r="L69" s="723"/>
      <c r="M69" s="723"/>
      <c r="N69" s="723"/>
      <c r="O69" s="723"/>
    </row>
  </sheetData>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topLeftCell="A4" workbookViewId="0">
      <selection activeCell="H26" sqref="H26"/>
    </sheetView>
  </sheetViews>
  <sheetFormatPr defaultRowHeight="13.2" x14ac:dyDescent="0.25"/>
  <cols>
    <col min="1" max="1" width="27.6640625" customWidth="1"/>
    <col min="2" max="2" width="17.88671875" customWidth="1"/>
    <col min="3" max="3" width="19.6640625" customWidth="1"/>
    <col min="4" max="4" width="25.44140625" customWidth="1"/>
    <col min="5" max="6" width="29.109375" customWidth="1"/>
    <col min="7" max="7" width="29" customWidth="1"/>
    <col min="8" max="8" width="19.5546875" customWidth="1"/>
    <col min="9" max="9" width="26.109375" customWidth="1"/>
    <col min="10" max="10" width="15.5546875" customWidth="1"/>
    <col min="11" max="11" width="16.33203125" customWidth="1"/>
  </cols>
  <sheetData>
    <row r="1" spans="1:11" x14ac:dyDescent="0.25">
      <c r="A1" s="384" t="s">
        <v>1407</v>
      </c>
    </row>
    <row r="4" spans="1:11" ht="66.75" customHeight="1" x14ac:dyDescent="0.25">
      <c r="A4" s="783" t="s">
        <v>322</v>
      </c>
      <c r="B4" s="641" t="s">
        <v>323</v>
      </c>
      <c r="C4" s="641" t="s">
        <v>1437</v>
      </c>
      <c r="D4" s="953" t="s">
        <v>1438</v>
      </c>
      <c r="E4" s="950" t="s">
        <v>1445</v>
      </c>
      <c r="F4" s="957" t="s">
        <v>1446</v>
      </c>
      <c r="G4" s="957" t="s">
        <v>1453</v>
      </c>
      <c r="H4" s="957" t="s">
        <v>1449</v>
      </c>
      <c r="I4" s="957" t="s">
        <v>1450</v>
      </c>
      <c r="J4" s="957" t="s">
        <v>1458</v>
      </c>
      <c r="K4" s="957" t="s">
        <v>1475</v>
      </c>
    </row>
    <row r="5" spans="1:11" x14ac:dyDescent="0.25">
      <c r="A5" s="784" t="s">
        <v>403</v>
      </c>
      <c r="B5" s="954">
        <f>'Biomass Data Assumptions'!R7</f>
        <v>2416031.2000000002</v>
      </c>
      <c r="C5" s="924">
        <f>B5*0.133</f>
        <v>321332.14960000006</v>
      </c>
      <c r="D5" s="924">
        <f>C5*0.128</f>
        <v>41130.515148800012</v>
      </c>
      <c r="E5" s="924">
        <f t="shared" ref="E5:E25" si="0">C5*0.9</f>
        <v>289198.93464000005</v>
      </c>
      <c r="F5" s="924">
        <f>E5*0.139</f>
        <v>40198.651914960014</v>
      </c>
      <c r="G5" s="952">
        <f>F5*0.0979</f>
        <v>3935.4480224745853</v>
      </c>
      <c r="H5" s="960">
        <f>D5*0.00001584/0.00094708</f>
        <v>687.91164416627134</v>
      </c>
      <c r="I5" s="960">
        <f>D5*0.00001176/0.00094708</f>
        <v>510.72228127495896</v>
      </c>
      <c r="J5" s="965">
        <f>F5*0.00009803/0.000947086</f>
        <v>4160.8405648732323</v>
      </c>
      <c r="K5" s="965">
        <f>D5*0.00008325/0.00094708</f>
        <v>3615.4447207602325</v>
      </c>
    </row>
    <row r="6" spans="1:11" x14ac:dyDescent="0.25">
      <c r="A6" s="784" t="s">
        <v>325</v>
      </c>
      <c r="B6" s="954">
        <f>'Biomass Data Assumptions'!R8</f>
        <v>7965020.8000000007</v>
      </c>
      <c r="C6" s="924">
        <f t="shared" ref="C6:C25" si="1">B6*0.125</f>
        <v>995627.60000000009</v>
      </c>
      <c r="D6" s="924">
        <f t="shared" ref="D6:D25" si="2">C6*0.128</f>
        <v>127440.33280000002</v>
      </c>
      <c r="E6" s="924">
        <f t="shared" si="0"/>
        <v>896064.84000000008</v>
      </c>
      <c r="F6" s="924">
        <f t="shared" ref="F6:F25" si="3">E6*0.139</f>
        <v>124553.01276000003</v>
      </c>
      <c r="G6" s="952">
        <f t="shared" ref="G6:G25" si="4">F6*0.0979</f>
        <v>12193.739949204002</v>
      </c>
      <c r="H6" s="960">
        <f t="shared" ref="H6:H25" si="5">D6*0.00001584/0.00094708</f>
        <v>2131.4512729146436</v>
      </c>
      <c r="I6" s="960">
        <f t="shared" ref="I6:I25" si="6">D6*0.00001176/0.00094708</f>
        <v>1582.4410965578411</v>
      </c>
      <c r="J6" s="965">
        <f t="shared" ref="J6:J25" si="7">F6*0.00009803/0.000947086</f>
        <v>12892.10466722431</v>
      </c>
      <c r="K6" s="965">
        <f t="shared" ref="K6:K25" si="8">D6*0.00008325/0.00094708</f>
        <v>11202.229701397984</v>
      </c>
    </row>
    <row r="7" spans="1:11" x14ac:dyDescent="0.25">
      <c r="A7" s="784" t="s">
        <v>328</v>
      </c>
      <c r="B7" s="954">
        <f>'Biomass Data Assumptions'!R9</f>
        <v>3948859.2</v>
      </c>
      <c r="C7" s="924">
        <f t="shared" si="1"/>
        <v>493607.4</v>
      </c>
      <c r="D7" s="924">
        <f t="shared" si="2"/>
        <v>63181.747200000005</v>
      </c>
      <c r="E7" s="924">
        <f t="shared" si="0"/>
        <v>444246.66000000003</v>
      </c>
      <c r="F7" s="924">
        <f t="shared" si="3"/>
        <v>61750.285740000007</v>
      </c>
      <c r="G7" s="952">
        <f t="shared" si="4"/>
        <v>6045.3529739460009</v>
      </c>
      <c r="H7" s="960">
        <f t="shared" si="5"/>
        <v>1056.7205258774341</v>
      </c>
      <c r="I7" s="960">
        <f t="shared" si="6"/>
        <v>784.53493587870094</v>
      </c>
      <c r="J7" s="965">
        <f t="shared" si="7"/>
        <v>6391.5848308307804</v>
      </c>
      <c r="K7" s="965">
        <f t="shared" si="8"/>
        <v>5553.7868547535591</v>
      </c>
    </row>
    <row r="8" spans="1:11" x14ac:dyDescent="0.25">
      <c r="A8" s="784" t="s">
        <v>331</v>
      </c>
      <c r="B8" s="954">
        <f>'Biomass Data Assumptions'!R10</f>
        <v>4520181.6000000006</v>
      </c>
      <c r="C8" s="924">
        <f t="shared" si="1"/>
        <v>565022.70000000007</v>
      </c>
      <c r="D8" s="924">
        <f t="shared" si="2"/>
        <v>72322.905600000013</v>
      </c>
      <c r="E8" s="924">
        <f t="shared" si="0"/>
        <v>508520.43000000005</v>
      </c>
      <c r="F8" s="924">
        <f t="shared" si="3"/>
        <v>70684.339770000021</v>
      </c>
      <c r="G8" s="952">
        <f t="shared" si="4"/>
        <v>6919.996863483002</v>
      </c>
      <c r="H8" s="960">
        <f t="shared" si="5"/>
        <v>1209.6072398361282</v>
      </c>
      <c r="I8" s="960">
        <f t="shared" si="6"/>
        <v>898.04173866621625</v>
      </c>
      <c r="J8" s="965">
        <f t="shared" si="7"/>
        <v>7316.3216726391292</v>
      </c>
      <c r="K8" s="965">
        <f t="shared" si="8"/>
        <v>6357.310777547832</v>
      </c>
    </row>
    <row r="9" spans="1:11" x14ac:dyDescent="0.25">
      <c r="A9" s="784" t="s">
        <v>333</v>
      </c>
      <c r="B9" s="954">
        <f>'Biomass Data Assumptions'!R11</f>
        <v>855932.00000000012</v>
      </c>
      <c r="C9" s="924">
        <f t="shared" si="1"/>
        <v>106991.50000000001</v>
      </c>
      <c r="D9" s="924">
        <f t="shared" si="2"/>
        <v>13694.912000000002</v>
      </c>
      <c r="E9" s="924">
        <f t="shared" si="0"/>
        <v>96292.35000000002</v>
      </c>
      <c r="F9" s="924">
        <f t="shared" si="3"/>
        <v>13384.636650000004</v>
      </c>
      <c r="G9" s="952">
        <f t="shared" si="4"/>
        <v>1310.3559280350005</v>
      </c>
      <c r="H9" s="960">
        <f t="shared" si="5"/>
        <v>229.0486612324197</v>
      </c>
      <c r="I9" s="960">
        <f t="shared" si="6"/>
        <v>170.0512787937661</v>
      </c>
      <c r="J9" s="965">
        <f t="shared" si="7"/>
        <v>1385.4031532506028</v>
      </c>
      <c r="K9" s="965">
        <f t="shared" si="8"/>
        <v>1203.806884318115</v>
      </c>
    </row>
    <row r="10" spans="1:11" x14ac:dyDescent="0.25">
      <c r="A10" s="784" t="s">
        <v>335</v>
      </c>
      <c r="B10" s="954">
        <f>'Biomass Data Assumptions'!R12</f>
        <v>1380702.4000000001</v>
      </c>
      <c r="C10" s="924">
        <f t="shared" si="1"/>
        <v>172587.80000000002</v>
      </c>
      <c r="D10" s="924">
        <f t="shared" si="2"/>
        <v>22091.238400000002</v>
      </c>
      <c r="E10" s="924">
        <f t="shared" si="0"/>
        <v>155329.02000000002</v>
      </c>
      <c r="F10" s="924">
        <f t="shared" si="3"/>
        <v>21590.733780000006</v>
      </c>
      <c r="G10" s="952">
        <f t="shared" si="4"/>
        <v>2113.7328370620007</v>
      </c>
      <c r="H10" s="960">
        <f t="shared" si="5"/>
        <v>369.47799156987799</v>
      </c>
      <c r="I10" s="960">
        <f t="shared" si="6"/>
        <v>274.30941798369724</v>
      </c>
      <c r="J10" s="965">
        <f t="shared" si="7"/>
        <v>2234.7913837322062</v>
      </c>
      <c r="K10" s="965">
        <f t="shared" si="8"/>
        <v>1941.8587625121429</v>
      </c>
    </row>
    <row r="11" spans="1:11" x14ac:dyDescent="0.25">
      <c r="A11" s="784" t="s">
        <v>336</v>
      </c>
      <c r="B11" s="954">
        <f>'Biomass Data Assumptions'!R13</f>
        <v>6898927.2000000002</v>
      </c>
      <c r="C11" s="924">
        <f t="shared" si="1"/>
        <v>862365.9</v>
      </c>
      <c r="D11" s="924">
        <f t="shared" si="2"/>
        <v>110382.8352</v>
      </c>
      <c r="E11" s="924">
        <f t="shared" si="0"/>
        <v>776129.31</v>
      </c>
      <c r="F11" s="924">
        <f t="shared" si="3"/>
        <v>107881.97409000002</v>
      </c>
      <c r="G11" s="952">
        <f t="shared" si="4"/>
        <v>10561.645263411001</v>
      </c>
      <c r="H11" s="960">
        <f t="shared" si="5"/>
        <v>1846.1630586307388</v>
      </c>
      <c r="I11" s="960">
        <f t="shared" si="6"/>
        <v>1370.6362101955485</v>
      </c>
      <c r="J11" s="965">
        <f t="shared" si="7"/>
        <v>11166.536006278946</v>
      </c>
      <c r="K11" s="965">
        <f t="shared" si="8"/>
        <v>9702.845620644508</v>
      </c>
    </row>
    <row r="12" spans="1:11" x14ac:dyDescent="0.25">
      <c r="A12" s="784" t="s">
        <v>337</v>
      </c>
      <c r="B12" s="954">
        <f>'Biomass Data Assumptions'!R14</f>
        <v>2536934.4000000004</v>
      </c>
      <c r="C12" s="924">
        <f t="shared" si="1"/>
        <v>317116.80000000005</v>
      </c>
      <c r="D12" s="924">
        <f t="shared" si="2"/>
        <v>40590.950400000009</v>
      </c>
      <c r="E12" s="924">
        <f t="shared" si="0"/>
        <v>285405.12000000005</v>
      </c>
      <c r="F12" s="924">
        <f t="shared" si="3"/>
        <v>39671.311680000013</v>
      </c>
      <c r="G12" s="952">
        <f t="shared" si="4"/>
        <v>3883.8214134720015</v>
      </c>
      <c r="H12" s="960">
        <f t="shared" si="5"/>
        <v>678.887374177472</v>
      </c>
      <c r="I12" s="960">
        <f t="shared" si="6"/>
        <v>504.0224444650928</v>
      </c>
      <c r="J12" s="965">
        <f t="shared" si="7"/>
        <v>4106.2571762125099</v>
      </c>
      <c r="K12" s="965">
        <f t="shared" si="8"/>
        <v>3568.0160290577364</v>
      </c>
    </row>
    <row r="13" spans="1:11" x14ac:dyDescent="0.25">
      <c r="A13" s="784" t="s">
        <v>338</v>
      </c>
      <c r="B13" s="954">
        <f>'Biomass Data Assumptions'!R15</f>
        <v>5581540.8000000007</v>
      </c>
      <c r="C13" s="924">
        <f t="shared" si="1"/>
        <v>697692.60000000009</v>
      </c>
      <c r="D13" s="924">
        <f t="shared" si="2"/>
        <v>89304.652800000011</v>
      </c>
      <c r="E13" s="924">
        <f t="shared" si="0"/>
        <v>627923.34000000008</v>
      </c>
      <c r="F13" s="924">
        <f t="shared" si="3"/>
        <v>87281.344260000013</v>
      </c>
      <c r="G13" s="952">
        <f t="shared" si="4"/>
        <v>8544.8436030540015</v>
      </c>
      <c r="H13" s="960">
        <f t="shared" si="5"/>
        <v>1493.628521721502</v>
      </c>
      <c r="I13" s="960">
        <f t="shared" si="6"/>
        <v>1108.9060237023273</v>
      </c>
      <c r="J13" s="965">
        <f t="shared" si="7"/>
        <v>9034.227280107405</v>
      </c>
      <c r="K13" s="965">
        <f t="shared" si="8"/>
        <v>7850.036264729486</v>
      </c>
    </row>
    <row r="14" spans="1:11" x14ac:dyDescent="0.25">
      <c r="A14" s="784" t="s">
        <v>339</v>
      </c>
      <c r="B14" s="954">
        <f>'Biomass Data Assumptions'!R16</f>
        <v>1129471.2000000002</v>
      </c>
      <c r="C14" s="924">
        <f t="shared" si="1"/>
        <v>141183.90000000002</v>
      </c>
      <c r="D14" s="924">
        <f t="shared" si="2"/>
        <v>18071.539200000003</v>
      </c>
      <c r="E14" s="924">
        <f t="shared" si="0"/>
        <v>127065.51000000002</v>
      </c>
      <c r="F14" s="924">
        <f t="shared" si="3"/>
        <v>17662.105890000006</v>
      </c>
      <c r="G14" s="952">
        <f t="shared" si="4"/>
        <v>1729.1201666310005</v>
      </c>
      <c r="H14" s="960">
        <f t="shared" si="5"/>
        <v>302.24815319508389</v>
      </c>
      <c r="I14" s="960">
        <f t="shared" si="6"/>
        <v>224.39635615998648</v>
      </c>
      <c r="J14" s="965">
        <f t="shared" si="7"/>
        <v>1828.1510236627937</v>
      </c>
      <c r="K14" s="965">
        <f t="shared" si="8"/>
        <v>1588.5201233264352</v>
      </c>
    </row>
    <row r="15" spans="1:11" x14ac:dyDescent="0.25">
      <c r="A15" s="784" t="s">
        <v>340</v>
      </c>
      <c r="B15" s="954">
        <f>'Biomass Data Assumptions'!R17</f>
        <v>3225314.4000000004</v>
      </c>
      <c r="C15" s="924">
        <f t="shared" si="1"/>
        <v>403164.30000000005</v>
      </c>
      <c r="D15" s="924">
        <f t="shared" si="2"/>
        <v>51605.030400000011</v>
      </c>
      <c r="E15" s="924">
        <f t="shared" si="0"/>
        <v>362847.87000000005</v>
      </c>
      <c r="F15" s="924">
        <f t="shared" si="3"/>
        <v>50435.853930000012</v>
      </c>
      <c r="G15" s="952">
        <f t="shared" si="4"/>
        <v>4937.6700997470016</v>
      </c>
      <c r="H15" s="960">
        <f t="shared" si="5"/>
        <v>863.09887394517909</v>
      </c>
      <c r="I15" s="960">
        <f t="shared" si="6"/>
        <v>640.78552762596621</v>
      </c>
      <c r="J15" s="965">
        <f t="shared" si="7"/>
        <v>5220.4623030621306</v>
      </c>
      <c r="K15" s="965">
        <f t="shared" si="8"/>
        <v>4536.1730590868792</v>
      </c>
    </row>
    <row r="16" spans="1:11" x14ac:dyDescent="0.25">
      <c r="A16" s="784" t="s">
        <v>341</v>
      </c>
      <c r="B16" s="954">
        <f>'Biomass Data Assumptions'!R18</f>
        <v>7126750.4000000004</v>
      </c>
      <c r="C16" s="924">
        <f t="shared" si="1"/>
        <v>890843.8</v>
      </c>
      <c r="D16" s="924">
        <f t="shared" si="2"/>
        <v>114028.00640000001</v>
      </c>
      <c r="E16" s="924">
        <f t="shared" si="0"/>
        <v>801759.42</v>
      </c>
      <c r="F16" s="924">
        <f t="shared" si="3"/>
        <v>111444.55938000002</v>
      </c>
      <c r="G16" s="952">
        <f t="shared" si="4"/>
        <v>10910.422363302003</v>
      </c>
      <c r="H16" s="960">
        <f t="shared" si="5"/>
        <v>1907.1288818009041</v>
      </c>
      <c r="I16" s="960">
        <f t="shared" si="6"/>
        <v>1415.8987152764287</v>
      </c>
      <c r="J16" s="965">
        <f t="shared" si="7"/>
        <v>11535.288406777632</v>
      </c>
      <c r="K16" s="965">
        <f t="shared" si="8"/>
        <v>10023.262589010434</v>
      </c>
    </row>
    <row r="17" spans="1:11" x14ac:dyDescent="0.25">
      <c r="A17" s="784" t="s">
        <v>342</v>
      </c>
      <c r="B17" s="954">
        <f>'Biomass Data Assumptions'!R19</f>
        <v>5547344</v>
      </c>
      <c r="C17" s="924">
        <f t="shared" si="1"/>
        <v>693418</v>
      </c>
      <c r="D17" s="924">
        <f t="shared" si="2"/>
        <v>88757.504000000001</v>
      </c>
      <c r="E17" s="924">
        <f t="shared" si="0"/>
        <v>624076.20000000007</v>
      </c>
      <c r="F17" s="924">
        <f t="shared" si="3"/>
        <v>86746.591800000024</v>
      </c>
      <c r="G17" s="952">
        <f t="shared" si="4"/>
        <v>8492.4913372200026</v>
      </c>
      <c r="H17" s="960">
        <f t="shared" si="5"/>
        <v>1484.4774077797019</v>
      </c>
      <c r="I17" s="960">
        <f t="shared" si="6"/>
        <v>1102.1120148667483</v>
      </c>
      <c r="J17" s="965">
        <f t="shared" si="7"/>
        <v>8978.8766745089706</v>
      </c>
      <c r="K17" s="965">
        <f t="shared" si="8"/>
        <v>7801.9409215694559</v>
      </c>
    </row>
    <row r="18" spans="1:11" x14ac:dyDescent="0.25">
      <c r="A18" s="784" t="s">
        <v>343</v>
      </c>
      <c r="B18" s="954">
        <f>'Biomass Data Assumptions'!R20</f>
        <v>4332028.8000000007</v>
      </c>
      <c r="C18" s="924">
        <f t="shared" si="1"/>
        <v>541503.60000000009</v>
      </c>
      <c r="D18" s="924">
        <f t="shared" si="2"/>
        <v>69312.460800000015</v>
      </c>
      <c r="E18" s="924">
        <f t="shared" si="0"/>
        <v>487353.24000000011</v>
      </c>
      <c r="F18" s="924">
        <f t="shared" si="3"/>
        <v>67742.100360000026</v>
      </c>
      <c r="G18" s="952">
        <f t="shared" si="4"/>
        <v>6631.9516252440026</v>
      </c>
      <c r="H18" s="960">
        <f t="shared" si="5"/>
        <v>1159.2572740127553</v>
      </c>
      <c r="I18" s="960">
        <f t="shared" si="6"/>
        <v>860.66070343371223</v>
      </c>
      <c r="J18" s="965">
        <f t="shared" si="7"/>
        <v>7011.7793930971447</v>
      </c>
      <c r="K18" s="965">
        <f t="shared" si="8"/>
        <v>6092.6873776238554</v>
      </c>
    </row>
    <row r="19" spans="1:11" x14ac:dyDescent="0.25">
      <c r="A19" s="784" t="s">
        <v>344</v>
      </c>
      <c r="B19" s="954">
        <f>'Biomass Data Assumptions'!R21</f>
        <v>5073789.6000000006</v>
      </c>
      <c r="C19" s="924">
        <f t="shared" si="1"/>
        <v>634223.70000000007</v>
      </c>
      <c r="D19" s="924">
        <f t="shared" si="2"/>
        <v>81180.633600000016</v>
      </c>
      <c r="E19" s="924">
        <f t="shared" si="0"/>
        <v>570801.33000000007</v>
      </c>
      <c r="F19" s="924">
        <f t="shared" si="3"/>
        <v>79341.384870000024</v>
      </c>
      <c r="G19" s="952">
        <f t="shared" si="4"/>
        <v>7767.5215787730021</v>
      </c>
      <c r="H19" s="960">
        <f t="shared" si="5"/>
        <v>1357.7535543185372</v>
      </c>
      <c r="I19" s="960">
        <f t="shared" si="6"/>
        <v>1008.0291539637624</v>
      </c>
      <c r="J19" s="965">
        <f t="shared" si="7"/>
        <v>8212.3861600806067</v>
      </c>
      <c r="K19" s="965">
        <f t="shared" si="8"/>
        <v>7135.9206690036763</v>
      </c>
    </row>
    <row r="20" spans="1:11" x14ac:dyDescent="0.25">
      <c r="A20" s="784" t="s">
        <v>345</v>
      </c>
      <c r="B20" s="954">
        <f>'Biomass Data Assumptions'!R22</f>
        <v>4410788.8000000007</v>
      </c>
      <c r="C20" s="924">
        <f t="shared" si="1"/>
        <v>551348.60000000009</v>
      </c>
      <c r="D20" s="924">
        <f t="shared" si="2"/>
        <v>70572.620800000019</v>
      </c>
      <c r="E20" s="924">
        <f t="shared" si="0"/>
        <v>496213.74000000011</v>
      </c>
      <c r="F20" s="924">
        <f t="shared" si="3"/>
        <v>68973.709860000017</v>
      </c>
      <c r="G20" s="952">
        <f t="shared" si="4"/>
        <v>6752.5261952940018</v>
      </c>
      <c r="H20" s="960">
        <f t="shared" si="5"/>
        <v>1180.3335657726911</v>
      </c>
      <c r="I20" s="960">
        <f t="shared" si="6"/>
        <v>876.30825337669489</v>
      </c>
      <c r="J20" s="965">
        <f t="shared" si="7"/>
        <v>7139.2595578181936</v>
      </c>
      <c r="K20" s="965">
        <f t="shared" si="8"/>
        <v>6203.4576610212462</v>
      </c>
    </row>
    <row r="21" spans="1:11" x14ac:dyDescent="0.25">
      <c r="A21" s="784" t="s">
        <v>346</v>
      </c>
      <c r="B21" s="954">
        <f>'Biomass Data Assumptions'!R23</f>
        <v>581530.4</v>
      </c>
      <c r="C21" s="924">
        <f t="shared" si="1"/>
        <v>72691.3</v>
      </c>
      <c r="D21" s="924">
        <f t="shared" si="2"/>
        <v>9304.4863999999998</v>
      </c>
      <c r="E21" s="924">
        <f t="shared" si="0"/>
        <v>65422.170000000006</v>
      </c>
      <c r="F21" s="924">
        <f t="shared" si="3"/>
        <v>9093.681630000001</v>
      </c>
      <c r="G21" s="952">
        <f t="shared" si="4"/>
        <v>890.27143157700016</v>
      </c>
      <c r="H21" s="960">
        <f t="shared" si="5"/>
        <v>155.61838976221651</v>
      </c>
      <c r="I21" s="960">
        <f t="shared" si="6"/>
        <v>115.53486512649405</v>
      </c>
      <c r="J21" s="965">
        <f t="shared" si="7"/>
        <v>941.25941064370079</v>
      </c>
      <c r="K21" s="965">
        <f t="shared" si="8"/>
        <v>817.88074164801287</v>
      </c>
    </row>
    <row r="22" spans="1:11" x14ac:dyDescent="0.25">
      <c r="A22" s="784" t="s">
        <v>347</v>
      </c>
      <c r="B22" s="954">
        <f>'Biomass Data Assumptions'!R24</f>
        <v>2846307.2</v>
      </c>
      <c r="C22" s="924">
        <f t="shared" si="1"/>
        <v>355788.4</v>
      </c>
      <c r="D22" s="924">
        <f t="shared" si="2"/>
        <v>45540.915200000003</v>
      </c>
      <c r="E22" s="924">
        <f t="shared" si="0"/>
        <v>320209.56000000006</v>
      </c>
      <c r="F22" s="924">
        <f t="shared" si="3"/>
        <v>44509.128840000012</v>
      </c>
      <c r="G22" s="952">
        <f t="shared" si="4"/>
        <v>4357.4437134360014</v>
      </c>
      <c r="H22" s="960">
        <f t="shared" si="5"/>
        <v>761.67599016767338</v>
      </c>
      <c r="I22" s="960">
        <f t="shared" si="6"/>
        <v>565.48671997296958</v>
      </c>
      <c r="J22" s="965">
        <f t="shared" si="7"/>
        <v>4607.0049606743214</v>
      </c>
      <c r="K22" s="965">
        <f t="shared" si="8"/>
        <v>4003.1266528698743</v>
      </c>
    </row>
    <row r="23" spans="1:11" x14ac:dyDescent="0.25">
      <c r="A23" s="784" t="s">
        <v>348</v>
      </c>
      <c r="B23" s="954">
        <f>'Biomass Data Assumptions'!R25</f>
        <v>1313532</v>
      </c>
      <c r="C23" s="924">
        <f t="shared" si="1"/>
        <v>164191.5</v>
      </c>
      <c r="D23" s="924">
        <f t="shared" si="2"/>
        <v>21016.511999999999</v>
      </c>
      <c r="E23" s="924">
        <f t="shared" si="0"/>
        <v>147772.35</v>
      </c>
      <c r="F23" s="924">
        <f t="shared" si="3"/>
        <v>20540.356650000002</v>
      </c>
      <c r="G23" s="952">
        <f t="shared" si="4"/>
        <v>2010.9009160350001</v>
      </c>
      <c r="H23" s="960">
        <f t="shared" si="5"/>
        <v>351.50309380411369</v>
      </c>
      <c r="I23" s="960">
        <f t="shared" si="6"/>
        <v>260.96441812729654</v>
      </c>
      <c r="J23" s="965">
        <f t="shared" si="7"/>
        <v>2126.0700320768124</v>
      </c>
      <c r="K23" s="965">
        <f t="shared" si="8"/>
        <v>1847.3884191409384</v>
      </c>
    </row>
    <row r="24" spans="1:11" x14ac:dyDescent="0.25">
      <c r="A24" s="784" t="s">
        <v>349</v>
      </c>
      <c r="B24" s="954">
        <f>'Biomass Data Assumptions'!R26</f>
        <v>4721191.2</v>
      </c>
      <c r="C24" s="924">
        <f t="shared" si="1"/>
        <v>590148.9</v>
      </c>
      <c r="D24" s="924">
        <f t="shared" si="2"/>
        <v>75539.059200000003</v>
      </c>
      <c r="E24" s="924">
        <f t="shared" si="0"/>
        <v>531134.01</v>
      </c>
      <c r="F24" s="924">
        <f t="shared" si="3"/>
        <v>73827.627390000009</v>
      </c>
      <c r="G24" s="952">
        <f t="shared" si="4"/>
        <v>7227.7247214810013</v>
      </c>
      <c r="H24" s="960">
        <f t="shared" si="5"/>
        <v>1263.3977042361787</v>
      </c>
      <c r="I24" s="960">
        <f t="shared" si="6"/>
        <v>937.97708344807199</v>
      </c>
      <c r="J24" s="965">
        <f t="shared" si="7"/>
        <v>7641.6738427573646</v>
      </c>
      <c r="K24" s="965">
        <f t="shared" si="8"/>
        <v>6640.0163432867348</v>
      </c>
    </row>
    <row r="25" spans="1:11" ht="13.8" thickBot="1" x14ac:dyDescent="0.3">
      <c r="A25" s="786" t="s">
        <v>350</v>
      </c>
      <c r="B25" s="954">
        <f>'Biomass Data Assumptions'!R27</f>
        <v>956489.60000000009</v>
      </c>
      <c r="C25" s="924">
        <f t="shared" si="1"/>
        <v>119561.20000000001</v>
      </c>
      <c r="D25" s="924">
        <f t="shared" si="2"/>
        <v>15303.833600000002</v>
      </c>
      <c r="E25" s="924">
        <f t="shared" si="0"/>
        <v>107605.08000000002</v>
      </c>
      <c r="F25" s="924">
        <f t="shared" si="3"/>
        <v>14957.106120000004</v>
      </c>
      <c r="G25" s="952">
        <f t="shared" si="4"/>
        <v>1464.3006891480004</v>
      </c>
      <c r="H25" s="960">
        <f t="shared" si="5"/>
        <v>255.95802279004945</v>
      </c>
      <c r="I25" s="960">
        <f t="shared" si="6"/>
        <v>190.02944116230941</v>
      </c>
      <c r="J25" s="965">
        <f t="shared" si="7"/>
        <v>1548.1646998726624</v>
      </c>
      <c r="K25" s="965">
        <f t="shared" si="8"/>
        <v>1345.2339265954304</v>
      </c>
    </row>
    <row r="26" spans="1:11" ht="13.8" thickTop="1" x14ac:dyDescent="0.25">
      <c r="A26" s="789" t="s">
        <v>351</v>
      </c>
      <c r="B26" s="954">
        <f>SUM(B5:B25)</f>
        <v>77368667.200000003</v>
      </c>
      <c r="C26" s="949">
        <f t="shared" ref="C26:D26" si="9">SUM(C5:C25)</f>
        <v>9690411.6496000011</v>
      </c>
      <c r="D26" s="924">
        <f t="shared" si="9"/>
        <v>1240372.6911488001</v>
      </c>
      <c r="E26" s="949">
        <f>SUM(E5:E25)</f>
        <v>8721370.4846400004</v>
      </c>
      <c r="F26" s="924">
        <f>SUM(F5:F25)</f>
        <v>1212270.4973649601</v>
      </c>
      <c r="G26" s="949">
        <f>SUM(G5:G25)</f>
        <v>118681.28169202965</v>
      </c>
      <c r="H26" s="958">
        <f>SUM(H5:H25)</f>
        <v>20745.347201711567</v>
      </c>
      <c r="I26" s="959">
        <f t="shared" ref="I26" si="10">SUM(I5:I25)</f>
        <v>15401.848680058589</v>
      </c>
      <c r="J26" s="959">
        <f t="shared" ref="J26:K26" si="11">SUM(J5:J25)</f>
        <v>125478.44320018146</v>
      </c>
      <c r="K26" s="959">
        <f t="shared" si="11"/>
        <v>109030.94409990459</v>
      </c>
    </row>
    <row r="30" spans="1:11" x14ac:dyDescent="0.25">
      <c r="A30" s="384" t="s">
        <v>1433</v>
      </c>
      <c r="E30" s="384" t="s">
        <v>1451</v>
      </c>
    </row>
    <row r="31" spans="1:11" x14ac:dyDescent="0.25">
      <c r="F31" s="384" t="s">
        <v>1454</v>
      </c>
    </row>
    <row r="32" spans="1:11" x14ac:dyDescent="0.25">
      <c r="A32" s="384" t="s">
        <v>1434</v>
      </c>
      <c r="F32" s="384" t="s">
        <v>1452</v>
      </c>
    </row>
    <row r="33" spans="1:5" x14ac:dyDescent="0.25">
      <c r="A33" s="384" t="s">
        <v>1435</v>
      </c>
      <c r="E33" s="384" t="s">
        <v>1456</v>
      </c>
    </row>
    <row r="34" spans="1:5" x14ac:dyDescent="0.25">
      <c r="E34" s="384" t="s">
        <v>1457</v>
      </c>
    </row>
    <row r="35" spans="1:5" x14ac:dyDescent="0.25">
      <c r="A35" s="384" t="s">
        <v>1436</v>
      </c>
      <c r="E35" s="384" t="s">
        <v>1455</v>
      </c>
    </row>
    <row r="36" spans="1:5" x14ac:dyDescent="0.25">
      <c r="A36" s="384" t="s">
        <v>1439</v>
      </c>
    </row>
    <row r="37" spans="1:5" x14ac:dyDescent="0.25">
      <c r="E37" s="384" t="s">
        <v>1476</v>
      </c>
    </row>
    <row r="38" spans="1:5" x14ac:dyDescent="0.25">
      <c r="A38" s="384" t="s">
        <v>1447</v>
      </c>
    </row>
    <row r="40" spans="1:5" x14ac:dyDescent="0.25">
      <c r="A40" s="384" t="s">
        <v>1448</v>
      </c>
    </row>
  </sheetData>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topLeftCell="J1" workbookViewId="0">
      <selection activeCell="M36" sqref="M36"/>
    </sheetView>
  </sheetViews>
  <sheetFormatPr defaultRowHeight="13.2" x14ac:dyDescent="0.25"/>
  <cols>
    <col min="1" max="1" width="23.109375" customWidth="1"/>
    <col min="2" max="2" width="26.5546875" customWidth="1"/>
    <col min="3" max="3" width="15.6640625" customWidth="1"/>
    <col min="4" max="4" width="21.44140625" customWidth="1"/>
    <col min="5" max="5" width="15.44140625" customWidth="1"/>
    <col min="6" max="6" width="14.44140625" customWidth="1"/>
    <col min="7" max="7" width="25.44140625" customWidth="1"/>
    <col min="8" max="8" width="15.109375" customWidth="1"/>
    <col min="9" max="9" width="16.6640625" customWidth="1"/>
    <col min="10" max="10" width="20" customWidth="1"/>
    <col min="11" max="11" width="15.5546875" customWidth="1"/>
    <col min="12" max="12" width="23.6640625" customWidth="1"/>
    <col min="13" max="13" width="17.5546875" customWidth="1"/>
    <col min="14" max="15" width="20.44140625" customWidth="1"/>
    <col min="16" max="16" width="17.109375" customWidth="1"/>
    <col min="17" max="17" width="22.109375" customWidth="1"/>
    <col min="18" max="18" width="15.44140625" customWidth="1"/>
  </cols>
  <sheetData>
    <row r="1" spans="1:18" x14ac:dyDescent="0.25">
      <c r="A1" s="384" t="s">
        <v>1407</v>
      </c>
    </row>
    <row r="2" spans="1:18" x14ac:dyDescent="0.25">
      <c r="C2" s="384" t="s">
        <v>1427</v>
      </c>
    </row>
    <row r="4" spans="1:18" ht="69" customHeight="1" x14ac:dyDescent="0.25">
      <c r="A4" s="783" t="s">
        <v>322</v>
      </c>
      <c r="B4" s="177" t="s">
        <v>146</v>
      </c>
      <c r="C4" s="171" t="s">
        <v>201</v>
      </c>
      <c r="D4" s="171" t="s">
        <v>202</v>
      </c>
      <c r="E4" s="178" t="s">
        <v>1406</v>
      </c>
      <c r="F4" s="178" t="s">
        <v>1468</v>
      </c>
      <c r="G4" s="941" t="s">
        <v>1408</v>
      </c>
      <c r="H4" s="941" t="s">
        <v>1411</v>
      </c>
      <c r="I4" s="941" t="s">
        <v>1413</v>
      </c>
      <c r="J4" s="941" t="s">
        <v>1416</v>
      </c>
      <c r="K4" s="948" t="s">
        <v>1429</v>
      </c>
      <c r="L4" s="948" t="s">
        <v>1460</v>
      </c>
      <c r="M4" s="948" t="s">
        <v>1462</v>
      </c>
      <c r="N4" s="948" t="s">
        <v>1463</v>
      </c>
      <c r="O4" s="948" t="s">
        <v>1464</v>
      </c>
      <c r="P4" s="948" t="s">
        <v>1465</v>
      </c>
      <c r="Q4" s="948" t="s">
        <v>1466</v>
      </c>
      <c r="R4" s="948" t="s">
        <v>1469</v>
      </c>
    </row>
    <row r="5" spans="1:18" x14ac:dyDescent="0.25">
      <c r="A5" s="784" t="s">
        <v>403</v>
      </c>
      <c r="B5" s="447">
        <v>561</v>
      </c>
      <c r="C5" s="429">
        <v>186.29</v>
      </c>
      <c r="D5" s="937">
        <f>C5</f>
        <v>186.29</v>
      </c>
      <c r="E5" s="937">
        <f>D5*0.5</f>
        <v>93.144999999999996</v>
      </c>
      <c r="F5" s="937">
        <f>E5*0.568*1000</f>
        <v>52906.359999999993</v>
      </c>
      <c r="G5" s="937">
        <f>F5*15.6</f>
        <v>825339.2159999999</v>
      </c>
      <c r="H5" s="937">
        <f>G5*0.24</f>
        <v>198081.41183999996</v>
      </c>
      <c r="I5" s="937">
        <f>H5*0.2929115</f>
        <v>58020.323464172143</v>
      </c>
      <c r="J5" s="833">
        <f>I5/7446</f>
        <v>7.7921465839608031</v>
      </c>
      <c r="K5" s="924">
        <f>G5*92.8/1000</f>
        <v>76591.479244799993</v>
      </c>
      <c r="L5" s="924">
        <f>F5*65.3</f>
        <v>3454785.3079999993</v>
      </c>
      <c r="M5" s="924">
        <f>L5*89/1055.87</f>
        <v>291206.20191122009</v>
      </c>
      <c r="N5" s="924">
        <f>M5*0.0000214/0.00094708</f>
        <v>6580.0277916333471</v>
      </c>
      <c r="O5" s="924">
        <f>L5*0.96</f>
        <v>3316593.8956799991</v>
      </c>
      <c r="P5" s="956">
        <f>O5*0.125</f>
        <v>414574.23695999989</v>
      </c>
      <c r="Q5" s="924">
        <f>P5*0.0974</f>
        <v>40379.53067990399</v>
      </c>
      <c r="R5" s="924">
        <f>M5*0.00009452/0.00094708</f>
        <v>29062.814339494573</v>
      </c>
    </row>
    <row r="6" spans="1:18" x14ac:dyDescent="0.25">
      <c r="A6" s="784" t="s">
        <v>325</v>
      </c>
      <c r="B6" s="447">
        <v>234</v>
      </c>
      <c r="C6" s="429">
        <v>23.31</v>
      </c>
      <c r="D6" s="937">
        <f t="shared" ref="D6:D25" si="0">C6</f>
        <v>23.31</v>
      </c>
      <c r="E6" s="937">
        <f t="shared" ref="E6:E25" si="1">D6*0.5</f>
        <v>11.654999999999999</v>
      </c>
      <c r="F6" s="937">
        <f t="shared" ref="F6:F25" si="2">E6*0.568*1000</f>
        <v>6620.0399999999991</v>
      </c>
      <c r="G6" s="937">
        <f t="shared" ref="G6:G25" si="3">F6*15.6</f>
        <v>103272.62399999998</v>
      </c>
      <c r="H6" s="937">
        <f t="shared" ref="H6:H25" si="4">G6*0.24</f>
        <v>24785.429759999995</v>
      </c>
      <c r="I6" s="937">
        <f t="shared" ref="I6:I25" si="5">H6*0.2929115</f>
        <v>7259.9374091462387</v>
      </c>
      <c r="J6" s="833">
        <f t="shared" ref="J6:J25" si="6">I6/7446</f>
        <v>0.97501173907416583</v>
      </c>
      <c r="K6" s="924">
        <f t="shared" ref="K6:K25" si="7">G6*92.8/1000</f>
        <v>9583.6995071999972</v>
      </c>
      <c r="L6" s="924">
        <f t="shared" ref="L6:L25" si="8">F6*65.3</f>
        <v>432288.61199999991</v>
      </c>
      <c r="M6" s="924">
        <f t="shared" ref="M6:M25" si="9">L6*89/1055.87</f>
        <v>36437.900942350854</v>
      </c>
      <c r="N6" s="924">
        <f t="shared" ref="N6:N25" si="10">M6*0.0000214/0.00094708</f>
        <v>823.34235773779221</v>
      </c>
      <c r="O6" s="924">
        <f t="shared" ref="O6:O25" si="11">L6*0.96</f>
        <v>414997.06751999987</v>
      </c>
      <c r="P6" s="956">
        <f t="shared" ref="P6:P25" si="12">O6*0.125</f>
        <v>51874.633439999983</v>
      </c>
      <c r="Q6" s="924">
        <f t="shared" ref="Q6:Q25" si="13">P6*0.0974</f>
        <v>5052.589297055998</v>
      </c>
      <c r="R6" s="924">
        <f t="shared" ref="R6:R25" si="14">M6*0.00009452/0.00094708</f>
        <v>3636.556993148417</v>
      </c>
    </row>
    <row r="7" spans="1:18" x14ac:dyDescent="0.25">
      <c r="A7" s="784" t="s">
        <v>328</v>
      </c>
      <c r="B7" s="447">
        <v>805</v>
      </c>
      <c r="C7" s="429">
        <v>254.446</v>
      </c>
      <c r="D7" s="937">
        <f t="shared" si="0"/>
        <v>254.446</v>
      </c>
      <c r="E7" s="937">
        <f t="shared" si="1"/>
        <v>127.223</v>
      </c>
      <c r="F7" s="937">
        <f t="shared" si="2"/>
        <v>72262.66399999999</v>
      </c>
      <c r="G7" s="937">
        <f t="shared" si="3"/>
        <v>1127297.5583999997</v>
      </c>
      <c r="H7" s="937">
        <f t="shared" si="4"/>
        <v>270551.41401599994</v>
      </c>
      <c r="I7" s="937">
        <f t="shared" si="5"/>
        <v>79247.620506547566</v>
      </c>
      <c r="J7" s="833">
        <f t="shared" si="6"/>
        <v>10.642978848582805</v>
      </c>
      <c r="K7" s="924">
        <f t="shared" si="7"/>
        <v>104613.21341951998</v>
      </c>
      <c r="L7" s="924">
        <f t="shared" si="8"/>
        <v>4718751.9591999995</v>
      </c>
      <c r="M7" s="924">
        <f t="shared" si="9"/>
        <v>397746.81008912082</v>
      </c>
      <c r="N7" s="924">
        <f t="shared" si="10"/>
        <v>8987.3946613878288</v>
      </c>
      <c r="O7" s="924">
        <f t="shared" si="11"/>
        <v>4530001.8808319997</v>
      </c>
      <c r="P7" s="956">
        <f t="shared" si="12"/>
        <v>566250.23510399996</v>
      </c>
      <c r="Q7" s="924">
        <f t="shared" si="13"/>
        <v>55152.772899129595</v>
      </c>
      <c r="R7" s="924">
        <f t="shared" si="14"/>
        <v>39695.726326840078</v>
      </c>
    </row>
    <row r="8" spans="1:18" x14ac:dyDescent="0.25">
      <c r="A8" s="784" t="s">
        <v>331</v>
      </c>
      <c r="B8" s="447">
        <v>222</v>
      </c>
      <c r="C8" s="429">
        <v>46.698999999999998</v>
      </c>
      <c r="D8" s="937">
        <f t="shared" si="0"/>
        <v>46.698999999999998</v>
      </c>
      <c r="E8" s="937">
        <f t="shared" si="1"/>
        <v>23.349499999999999</v>
      </c>
      <c r="F8" s="937">
        <f t="shared" si="2"/>
        <v>13262.515999999998</v>
      </c>
      <c r="G8" s="937">
        <f t="shared" si="3"/>
        <v>206895.24959999995</v>
      </c>
      <c r="H8" s="937">
        <f t="shared" si="4"/>
        <v>49654.85990399999</v>
      </c>
      <c r="I8" s="937">
        <f t="shared" si="5"/>
        <v>14544.479496770493</v>
      </c>
      <c r="J8" s="833">
        <f t="shared" si="6"/>
        <v>1.9533278937376435</v>
      </c>
      <c r="K8" s="924">
        <f t="shared" si="7"/>
        <v>19199.879162879995</v>
      </c>
      <c r="L8" s="924">
        <f t="shared" si="8"/>
        <v>866042.2947999998</v>
      </c>
      <c r="M8" s="924">
        <f t="shared" si="9"/>
        <v>72999.293698277237</v>
      </c>
      <c r="N8" s="924">
        <f t="shared" si="10"/>
        <v>1649.4751078505858</v>
      </c>
      <c r="O8" s="924">
        <f t="shared" si="11"/>
        <v>831400.60300799983</v>
      </c>
      <c r="P8" s="956">
        <f t="shared" si="12"/>
        <v>103925.07537599998</v>
      </c>
      <c r="Q8" s="924">
        <f t="shared" si="13"/>
        <v>10122.302341622399</v>
      </c>
      <c r="R8" s="924">
        <f t="shared" si="14"/>
        <v>7285.4386539269799</v>
      </c>
    </row>
    <row r="9" spans="1:18" x14ac:dyDescent="0.25">
      <c r="A9" s="784" t="s">
        <v>333</v>
      </c>
      <c r="B9" s="447">
        <v>255</v>
      </c>
      <c r="C9" s="429">
        <v>53.075000000000003</v>
      </c>
      <c r="D9" s="937">
        <f t="shared" si="0"/>
        <v>53.075000000000003</v>
      </c>
      <c r="E9" s="937">
        <f t="shared" si="1"/>
        <v>26.537500000000001</v>
      </c>
      <c r="F9" s="937">
        <f t="shared" si="2"/>
        <v>15073.3</v>
      </c>
      <c r="G9" s="937">
        <f t="shared" si="3"/>
        <v>235143.47999999998</v>
      </c>
      <c r="H9" s="937">
        <f t="shared" si="4"/>
        <v>56434.435199999993</v>
      </c>
      <c r="I9" s="937">
        <f t="shared" si="5"/>
        <v>16530.295066084796</v>
      </c>
      <c r="J9" s="833">
        <f t="shared" si="6"/>
        <v>2.2200235114269131</v>
      </c>
      <c r="K9" s="924">
        <f t="shared" si="7"/>
        <v>21821.314943999998</v>
      </c>
      <c r="L9" s="924">
        <f t="shared" si="8"/>
        <v>984286.48999999987</v>
      </c>
      <c r="M9" s="924">
        <f t="shared" si="9"/>
        <v>82966.177285082435</v>
      </c>
      <c r="N9" s="924">
        <f t="shared" si="10"/>
        <v>1874.6844975089368</v>
      </c>
      <c r="O9" s="924">
        <f t="shared" si="11"/>
        <v>944915.03039999981</v>
      </c>
      <c r="P9" s="956">
        <f t="shared" si="12"/>
        <v>118114.37879999998</v>
      </c>
      <c r="Q9" s="924">
        <f t="shared" si="13"/>
        <v>11504.340495119997</v>
      </c>
      <c r="R9" s="924">
        <f t="shared" si="14"/>
        <v>8280.1485375955472</v>
      </c>
    </row>
    <row r="10" spans="1:18" x14ac:dyDescent="0.25">
      <c r="A10" s="784" t="s">
        <v>335</v>
      </c>
      <c r="B10" s="447">
        <v>489</v>
      </c>
      <c r="C10" s="429">
        <v>147.511</v>
      </c>
      <c r="D10" s="937">
        <f t="shared" si="0"/>
        <v>147.511</v>
      </c>
      <c r="E10" s="937">
        <f t="shared" si="1"/>
        <v>73.755499999999998</v>
      </c>
      <c r="F10" s="937">
        <f t="shared" si="2"/>
        <v>41893.123999999996</v>
      </c>
      <c r="G10" s="937">
        <f t="shared" si="3"/>
        <v>653532.73439999996</v>
      </c>
      <c r="H10" s="937">
        <f t="shared" si="4"/>
        <v>156847.85625599997</v>
      </c>
      <c r="I10" s="937">
        <f t="shared" si="5"/>
        <v>45942.540847729331</v>
      </c>
      <c r="J10" s="833">
        <f t="shared" si="6"/>
        <v>6.1700968100630309</v>
      </c>
      <c r="K10" s="924">
        <f t="shared" si="7"/>
        <v>60647.837752319989</v>
      </c>
      <c r="L10" s="924">
        <f t="shared" si="8"/>
        <v>2735620.9971999996</v>
      </c>
      <c r="M10" s="924">
        <f t="shared" si="9"/>
        <v>230587.35332076863</v>
      </c>
      <c r="N10" s="924">
        <f t="shared" si="10"/>
        <v>5210.2983497322803</v>
      </c>
      <c r="O10" s="924">
        <f t="shared" si="11"/>
        <v>2626196.1573119997</v>
      </c>
      <c r="P10" s="956">
        <f t="shared" si="12"/>
        <v>328274.51966399996</v>
      </c>
      <c r="Q10" s="924">
        <f t="shared" si="13"/>
        <v>31973.938215273596</v>
      </c>
      <c r="R10" s="924">
        <f t="shared" si="14"/>
        <v>23012.962617602581</v>
      </c>
    </row>
    <row r="11" spans="1:18" x14ac:dyDescent="0.25">
      <c r="A11" s="784" t="s">
        <v>336</v>
      </c>
      <c r="B11" s="447">
        <v>126</v>
      </c>
      <c r="C11" s="429">
        <v>0</v>
      </c>
      <c r="D11" s="937">
        <f t="shared" si="0"/>
        <v>0</v>
      </c>
      <c r="E11" s="937">
        <f t="shared" si="1"/>
        <v>0</v>
      </c>
      <c r="F11" s="937">
        <f t="shared" si="2"/>
        <v>0</v>
      </c>
      <c r="G11" s="937">
        <f t="shared" si="3"/>
        <v>0</v>
      </c>
      <c r="H11" s="937">
        <f t="shared" si="4"/>
        <v>0</v>
      </c>
      <c r="I11" s="937">
        <f t="shared" si="5"/>
        <v>0</v>
      </c>
      <c r="J11" s="833">
        <f t="shared" si="6"/>
        <v>0</v>
      </c>
      <c r="K11" s="924">
        <f t="shared" si="7"/>
        <v>0</v>
      </c>
      <c r="L11" s="924">
        <f t="shared" si="8"/>
        <v>0</v>
      </c>
      <c r="M11" s="924">
        <f t="shared" si="9"/>
        <v>0</v>
      </c>
      <c r="N11" s="924">
        <f t="shared" si="10"/>
        <v>0</v>
      </c>
      <c r="O11" s="924">
        <f t="shared" si="11"/>
        <v>0</v>
      </c>
      <c r="P11" s="956">
        <f t="shared" si="12"/>
        <v>0</v>
      </c>
      <c r="Q11" s="924">
        <f t="shared" si="13"/>
        <v>0</v>
      </c>
      <c r="R11" s="924">
        <f t="shared" si="14"/>
        <v>0</v>
      </c>
    </row>
    <row r="12" spans="1:18" x14ac:dyDescent="0.25">
      <c r="A12" s="784" t="s">
        <v>337</v>
      </c>
      <c r="B12" s="447">
        <v>325</v>
      </c>
      <c r="C12" s="429">
        <v>29.373000000000001</v>
      </c>
      <c r="D12" s="937">
        <f t="shared" si="0"/>
        <v>29.373000000000001</v>
      </c>
      <c r="E12" s="937">
        <f t="shared" si="1"/>
        <v>14.686500000000001</v>
      </c>
      <c r="F12" s="937">
        <f t="shared" si="2"/>
        <v>8341.9320000000007</v>
      </c>
      <c r="G12" s="937">
        <f t="shared" si="3"/>
        <v>130134.13920000001</v>
      </c>
      <c r="H12" s="937">
        <f t="shared" si="4"/>
        <v>31232.193407999999</v>
      </c>
      <c r="I12" s="937">
        <f t="shared" si="5"/>
        <v>9148.268619427392</v>
      </c>
      <c r="J12" s="833">
        <f t="shared" si="6"/>
        <v>1.2286151785424915</v>
      </c>
      <c r="K12" s="924">
        <f t="shared" si="7"/>
        <v>12076.448117760001</v>
      </c>
      <c r="L12" s="924">
        <f t="shared" si="8"/>
        <v>544728.15960000001</v>
      </c>
      <c r="M12" s="924">
        <f t="shared" si="9"/>
        <v>45915.506837394765</v>
      </c>
      <c r="N12" s="924">
        <f t="shared" si="10"/>
        <v>1037.4961421635426</v>
      </c>
      <c r="O12" s="924">
        <f t="shared" si="11"/>
        <v>522939.03321600001</v>
      </c>
      <c r="P12" s="956">
        <f t="shared" si="12"/>
        <v>65367.379152000001</v>
      </c>
      <c r="Q12" s="924">
        <f t="shared" si="13"/>
        <v>6366.7827294048002</v>
      </c>
      <c r="R12" s="924">
        <f t="shared" si="14"/>
        <v>4582.4362316494417</v>
      </c>
    </row>
    <row r="13" spans="1:18" x14ac:dyDescent="0.25">
      <c r="A13" s="784" t="s">
        <v>338</v>
      </c>
      <c r="B13" s="447">
        <v>47</v>
      </c>
      <c r="C13" s="429">
        <v>4.0339999999999998</v>
      </c>
      <c r="D13" s="937">
        <f t="shared" si="0"/>
        <v>4.0339999999999998</v>
      </c>
      <c r="E13" s="937">
        <f t="shared" si="1"/>
        <v>2.0169999999999999</v>
      </c>
      <c r="F13" s="937">
        <f t="shared" si="2"/>
        <v>1145.6559999999997</v>
      </c>
      <c r="G13" s="937">
        <f t="shared" si="3"/>
        <v>17872.233599999996</v>
      </c>
      <c r="H13" s="937">
        <f t="shared" si="4"/>
        <v>4289.3360639999992</v>
      </c>
      <c r="I13" s="937">
        <f t="shared" si="5"/>
        <v>1256.3958605103358</v>
      </c>
      <c r="J13" s="833">
        <f t="shared" si="6"/>
        <v>0.16873433528207571</v>
      </c>
      <c r="K13" s="924">
        <f t="shared" si="7"/>
        <v>1658.5432780799997</v>
      </c>
      <c r="L13" s="924">
        <f t="shared" si="8"/>
        <v>74811.336799999975</v>
      </c>
      <c r="M13" s="924">
        <f t="shared" si="9"/>
        <v>6305.8984299203485</v>
      </c>
      <c r="N13" s="924">
        <f t="shared" si="10"/>
        <v>142.48661823741969</v>
      </c>
      <c r="O13" s="924">
        <f t="shared" si="11"/>
        <v>71818.883327999967</v>
      </c>
      <c r="P13" s="956">
        <f t="shared" si="12"/>
        <v>8977.3604159999959</v>
      </c>
      <c r="Q13" s="924">
        <f t="shared" si="13"/>
        <v>874.39490451839958</v>
      </c>
      <c r="R13" s="924">
        <f t="shared" si="14"/>
        <v>629.33809139256596</v>
      </c>
    </row>
    <row r="14" spans="1:18" x14ac:dyDescent="0.25">
      <c r="A14" s="784" t="s">
        <v>339</v>
      </c>
      <c r="B14" s="447">
        <v>430</v>
      </c>
      <c r="C14" s="429">
        <v>102.52200000000001</v>
      </c>
      <c r="D14" s="937">
        <f t="shared" si="0"/>
        <v>102.52200000000001</v>
      </c>
      <c r="E14" s="937">
        <f t="shared" si="1"/>
        <v>51.261000000000003</v>
      </c>
      <c r="F14" s="937">
        <f t="shared" si="2"/>
        <v>29116.248</v>
      </c>
      <c r="G14" s="937">
        <f t="shared" si="3"/>
        <v>454213.46879999997</v>
      </c>
      <c r="H14" s="937">
        <f t="shared" si="4"/>
        <v>109011.23251199999</v>
      </c>
      <c r="I14" s="937">
        <f t="shared" si="5"/>
        <v>31930.643631938685</v>
      </c>
      <c r="J14" s="833">
        <f t="shared" si="6"/>
        <v>4.2882948740180886</v>
      </c>
      <c r="K14" s="924">
        <f t="shared" si="7"/>
        <v>42151.009904639999</v>
      </c>
      <c r="L14" s="924">
        <f t="shared" si="8"/>
        <v>1901290.9944</v>
      </c>
      <c r="M14" s="924">
        <f t="shared" si="9"/>
        <v>160261.11027077198</v>
      </c>
      <c r="N14" s="924">
        <f t="shared" si="10"/>
        <v>3621.2228743026149</v>
      </c>
      <c r="O14" s="924">
        <f t="shared" si="11"/>
        <v>1825239.3546239999</v>
      </c>
      <c r="P14" s="956">
        <f t="shared" si="12"/>
        <v>228154.91932799999</v>
      </c>
      <c r="Q14" s="924">
        <f t="shared" si="13"/>
        <v>22222.289142547201</v>
      </c>
      <c r="R14" s="924">
        <f t="shared" si="14"/>
        <v>15994.298414910427</v>
      </c>
    </row>
    <row r="15" spans="1:18" x14ac:dyDescent="0.25">
      <c r="A15" s="784" t="s">
        <v>340</v>
      </c>
      <c r="B15" s="447">
        <v>226</v>
      </c>
      <c r="C15" s="429">
        <v>43.234000000000002</v>
      </c>
      <c r="D15" s="937">
        <f t="shared" si="0"/>
        <v>43.234000000000002</v>
      </c>
      <c r="E15" s="937">
        <f t="shared" si="1"/>
        <v>21.617000000000001</v>
      </c>
      <c r="F15" s="937">
        <f t="shared" si="2"/>
        <v>12278.456</v>
      </c>
      <c r="G15" s="937">
        <f t="shared" si="3"/>
        <v>191543.9136</v>
      </c>
      <c r="H15" s="937">
        <f t="shared" si="4"/>
        <v>45970.539263999999</v>
      </c>
      <c r="I15" s="937">
        <f t="shared" si="5"/>
        <v>13465.299611627135</v>
      </c>
      <c r="J15" s="833">
        <f t="shared" si="6"/>
        <v>1.8083937163077002</v>
      </c>
      <c r="K15" s="924">
        <f t="shared" si="7"/>
        <v>17775.27518208</v>
      </c>
      <c r="L15" s="924">
        <f t="shared" si="8"/>
        <v>801783.17680000002</v>
      </c>
      <c r="M15" s="924">
        <f t="shared" si="9"/>
        <v>67582.848963603479</v>
      </c>
      <c r="N15" s="924">
        <f t="shared" si="10"/>
        <v>1527.0863789976711</v>
      </c>
      <c r="O15" s="924">
        <f t="shared" si="11"/>
        <v>769711.849728</v>
      </c>
      <c r="P15" s="956">
        <f t="shared" si="12"/>
        <v>96213.981216</v>
      </c>
      <c r="Q15" s="924">
        <f t="shared" si="13"/>
        <v>9371.2417704384006</v>
      </c>
      <c r="R15" s="924">
        <f t="shared" si="14"/>
        <v>6744.8693711616761</v>
      </c>
    </row>
    <row r="16" spans="1:18" x14ac:dyDescent="0.25">
      <c r="A16" s="784" t="s">
        <v>341</v>
      </c>
      <c r="B16" s="447">
        <v>311</v>
      </c>
      <c r="C16" s="429">
        <v>50.677999999999997</v>
      </c>
      <c r="D16" s="937">
        <f t="shared" si="0"/>
        <v>50.677999999999997</v>
      </c>
      <c r="E16" s="937">
        <f t="shared" si="1"/>
        <v>25.338999999999999</v>
      </c>
      <c r="F16" s="937">
        <f t="shared" si="2"/>
        <v>14392.551999999998</v>
      </c>
      <c r="G16" s="937">
        <f t="shared" si="3"/>
        <v>224523.81119999997</v>
      </c>
      <c r="H16" s="937">
        <f t="shared" si="4"/>
        <v>53885.714687999993</v>
      </c>
      <c r="I16" s="937">
        <f t="shared" si="5"/>
        <v>15783.74551783411</v>
      </c>
      <c r="J16" s="833">
        <f t="shared" si="6"/>
        <v>2.1197616865208313</v>
      </c>
      <c r="K16" s="924">
        <f t="shared" si="7"/>
        <v>20835.809679359994</v>
      </c>
      <c r="L16" s="924">
        <f t="shared" si="8"/>
        <v>939833.64559999981</v>
      </c>
      <c r="M16" s="924">
        <f t="shared" si="9"/>
        <v>79219.216814948799</v>
      </c>
      <c r="N16" s="924">
        <f t="shared" si="10"/>
        <v>1790.0190478522452</v>
      </c>
      <c r="O16" s="924">
        <f t="shared" si="11"/>
        <v>902240.29977599974</v>
      </c>
      <c r="P16" s="956">
        <f t="shared" si="12"/>
        <v>112780.03747199997</v>
      </c>
      <c r="Q16" s="924">
        <f t="shared" si="13"/>
        <v>10984.775649772797</v>
      </c>
      <c r="R16" s="924">
        <f t="shared" si="14"/>
        <v>7906.1962805137473</v>
      </c>
    </row>
    <row r="17" spans="1:18" x14ac:dyDescent="0.25">
      <c r="A17" s="784" t="s">
        <v>342</v>
      </c>
      <c r="B17" s="447">
        <v>472</v>
      </c>
      <c r="C17" s="429">
        <v>78.971000000000004</v>
      </c>
      <c r="D17" s="937">
        <f t="shared" si="0"/>
        <v>78.971000000000004</v>
      </c>
      <c r="E17" s="937">
        <f t="shared" si="1"/>
        <v>39.485500000000002</v>
      </c>
      <c r="F17" s="937">
        <f t="shared" si="2"/>
        <v>22427.763999999999</v>
      </c>
      <c r="G17" s="937">
        <f t="shared" si="3"/>
        <v>349873.11839999998</v>
      </c>
      <c r="H17" s="937">
        <f t="shared" si="4"/>
        <v>83969.548415999991</v>
      </c>
      <c r="I17" s="937">
        <f t="shared" si="5"/>
        <v>24595.646380853181</v>
      </c>
      <c r="J17" s="833">
        <f t="shared" si="6"/>
        <v>3.3032025759942494</v>
      </c>
      <c r="K17" s="924">
        <f t="shared" si="7"/>
        <v>32468.225387519997</v>
      </c>
      <c r="L17" s="924">
        <f t="shared" si="8"/>
        <v>1464532.9892</v>
      </c>
      <c r="M17" s="924">
        <f t="shared" si="9"/>
        <v>123446.48113764006</v>
      </c>
      <c r="N17" s="924">
        <f t="shared" si="10"/>
        <v>2789.368053749944</v>
      </c>
      <c r="O17" s="924">
        <f t="shared" si="11"/>
        <v>1405951.6696319999</v>
      </c>
      <c r="P17" s="956">
        <f t="shared" si="12"/>
        <v>175743.95870399999</v>
      </c>
      <c r="Q17" s="924">
        <f t="shared" si="13"/>
        <v>17117.461577769598</v>
      </c>
      <c r="R17" s="924">
        <f t="shared" si="14"/>
        <v>12320.143385067511</v>
      </c>
    </row>
    <row r="18" spans="1:18" x14ac:dyDescent="0.25">
      <c r="A18" s="784" t="s">
        <v>343</v>
      </c>
      <c r="B18" s="447">
        <v>469</v>
      </c>
      <c r="C18" s="429">
        <v>132.13200000000001</v>
      </c>
      <c r="D18" s="937">
        <f t="shared" si="0"/>
        <v>132.13200000000001</v>
      </c>
      <c r="E18" s="937">
        <f t="shared" si="1"/>
        <v>66.066000000000003</v>
      </c>
      <c r="F18" s="937">
        <f t="shared" si="2"/>
        <v>37525.487999999998</v>
      </c>
      <c r="G18" s="937">
        <f t="shared" si="3"/>
        <v>585397.6128</v>
      </c>
      <c r="H18" s="937">
        <f t="shared" si="4"/>
        <v>140495.42707199999</v>
      </c>
      <c r="I18" s="937">
        <f t="shared" si="5"/>
        <v>41152.726286800127</v>
      </c>
      <c r="J18" s="833">
        <f t="shared" si="6"/>
        <v>5.526823299328516</v>
      </c>
      <c r="K18" s="924">
        <f t="shared" si="7"/>
        <v>54324.898467840001</v>
      </c>
      <c r="L18" s="924">
        <f t="shared" si="8"/>
        <v>2450414.3663999997</v>
      </c>
      <c r="M18" s="924">
        <f t="shared" si="9"/>
        <v>206547.09254889333</v>
      </c>
      <c r="N18" s="924">
        <f t="shared" si="10"/>
        <v>4667.0901935911616</v>
      </c>
      <c r="O18" s="924">
        <f t="shared" si="11"/>
        <v>2352397.7917439998</v>
      </c>
      <c r="P18" s="956">
        <f t="shared" si="12"/>
        <v>294049.72396799998</v>
      </c>
      <c r="Q18" s="924">
        <f t="shared" si="13"/>
        <v>28640.443114483198</v>
      </c>
      <c r="R18" s="924">
        <f t="shared" si="14"/>
        <v>20613.708649450309</v>
      </c>
    </row>
    <row r="19" spans="1:18" x14ac:dyDescent="0.25">
      <c r="A19" s="784" t="s">
        <v>344</v>
      </c>
      <c r="B19" s="447">
        <v>636</v>
      </c>
      <c r="C19" s="429">
        <v>223.42</v>
      </c>
      <c r="D19" s="937">
        <f t="shared" si="0"/>
        <v>223.42</v>
      </c>
      <c r="E19" s="937">
        <f t="shared" si="1"/>
        <v>111.71</v>
      </c>
      <c r="F19" s="937">
        <f t="shared" si="2"/>
        <v>63451.279999999992</v>
      </c>
      <c r="G19" s="937">
        <f t="shared" si="3"/>
        <v>989839.96799999988</v>
      </c>
      <c r="H19" s="937">
        <f t="shared" si="4"/>
        <v>237561.59231999997</v>
      </c>
      <c r="I19" s="937">
        <f t="shared" si="5"/>
        <v>69584.522348839673</v>
      </c>
      <c r="J19" s="833">
        <f t="shared" si="6"/>
        <v>9.3452219109373722</v>
      </c>
      <c r="K19" s="924">
        <f t="shared" si="7"/>
        <v>91857.149030399989</v>
      </c>
      <c r="L19" s="924">
        <f t="shared" si="8"/>
        <v>4143368.5839999993</v>
      </c>
      <c r="M19" s="924">
        <f t="shared" si="9"/>
        <v>349247.35429172148</v>
      </c>
      <c r="N19" s="924">
        <f t="shared" si="10"/>
        <v>7891.5122078840641</v>
      </c>
      <c r="O19" s="924">
        <f t="shared" si="11"/>
        <v>3977633.8406399991</v>
      </c>
      <c r="P19" s="956">
        <f t="shared" si="12"/>
        <v>497204.23007999989</v>
      </c>
      <c r="Q19" s="924">
        <f t="shared" si="13"/>
        <v>48427.692009791986</v>
      </c>
      <c r="R19" s="924">
        <f t="shared" si="14"/>
        <v>34855.408125663635</v>
      </c>
    </row>
    <row r="20" spans="1:18" x14ac:dyDescent="0.25">
      <c r="A20" s="784" t="s">
        <v>345</v>
      </c>
      <c r="B20" s="447">
        <v>185</v>
      </c>
      <c r="C20" s="429">
        <v>70.396000000000001</v>
      </c>
      <c r="D20" s="937">
        <f t="shared" si="0"/>
        <v>70.396000000000001</v>
      </c>
      <c r="E20" s="937">
        <f t="shared" si="1"/>
        <v>35.198</v>
      </c>
      <c r="F20" s="937">
        <f t="shared" si="2"/>
        <v>19992.464</v>
      </c>
      <c r="G20" s="937">
        <f t="shared" si="3"/>
        <v>311882.43839999998</v>
      </c>
      <c r="H20" s="937">
        <f t="shared" si="4"/>
        <v>74851.785215999989</v>
      </c>
      <c r="I20" s="937">
        <f t="shared" si="5"/>
        <v>21924.948685296382</v>
      </c>
      <c r="J20" s="833">
        <f t="shared" si="6"/>
        <v>2.9445270863948942</v>
      </c>
      <c r="K20" s="924">
        <f t="shared" si="7"/>
        <v>28942.690283519998</v>
      </c>
      <c r="L20" s="924">
        <f t="shared" si="8"/>
        <v>1305507.8991999999</v>
      </c>
      <c r="M20" s="924">
        <f t="shared" si="9"/>
        <v>110042.14820839686</v>
      </c>
      <c r="N20" s="924">
        <f t="shared" si="10"/>
        <v>2486.4868560836389</v>
      </c>
      <c r="O20" s="924">
        <f t="shared" si="11"/>
        <v>1253287.5832319998</v>
      </c>
      <c r="P20" s="956">
        <f t="shared" si="12"/>
        <v>156660.94790399997</v>
      </c>
      <c r="Q20" s="924">
        <f t="shared" si="13"/>
        <v>15258.776325849598</v>
      </c>
      <c r="R20" s="924">
        <f t="shared" si="14"/>
        <v>10982.370917618015</v>
      </c>
    </row>
    <row r="21" spans="1:18" x14ac:dyDescent="0.25">
      <c r="A21" s="784" t="s">
        <v>346</v>
      </c>
      <c r="B21" s="447">
        <v>338</v>
      </c>
      <c r="C21" s="429">
        <v>64.085999999999999</v>
      </c>
      <c r="D21" s="937">
        <f t="shared" si="0"/>
        <v>64.085999999999999</v>
      </c>
      <c r="E21" s="937">
        <f t="shared" si="1"/>
        <v>32.042999999999999</v>
      </c>
      <c r="F21" s="937">
        <f t="shared" si="2"/>
        <v>18200.423999999999</v>
      </c>
      <c r="G21" s="937">
        <f t="shared" si="3"/>
        <v>283926.61439999996</v>
      </c>
      <c r="H21" s="937">
        <f t="shared" si="4"/>
        <v>68142.387455999982</v>
      </c>
      <c r="I21" s="937">
        <f t="shared" si="5"/>
        <v>19959.688923318139</v>
      </c>
      <c r="J21" s="833">
        <f t="shared" si="6"/>
        <v>2.6805921197042895</v>
      </c>
      <c r="K21" s="924">
        <f t="shared" si="7"/>
        <v>26348.389816319996</v>
      </c>
      <c r="L21" s="924">
        <f t="shared" si="8"/>
        <v>1188487.6871999998</v>
      </c>
      <c r="M21" s="924">
        <f t="shared" si="9"/>
        <v>100178.43499749021</v>
      </c>
      <c r="N21" s="924">
        <f t="shared" si="10"/>
        <v>2263.6086803082003</v>
      </c>
      <c r="O21" s="924">
        <f t="shared" si="11"/>
        <v>1140948.1797119998</v>
      </c>
      <c r="P21" s="956">
        <f t="shared" si="12"/>
        <v>142618.52246399998</v>
      </c>
      <c r="Q21" s="924">
        <f t="shared" si="13"/>
        <v>13891.044087993598</v>
      </c>
      <c r="R21" s="924">
        <f t="shared" si="14"/>
        <v>9997.9575917164075</v>
      </c>
    </row>
    <row r="22" spans="1:18" x14ac:dyDescent="0.25">
      <c r="A22" s="784" t="s">
        <v>347</v>
      </c>
      <c r="B22" s="447">
        <v>305</v>
      </c>
      <c r="C22" s="429">
        <v>35.904000000000003</v>
      </c>
      <c r="D22" s="937">
        <f t="shared" si="0"/>
        <v>35.904000000000003</v>
      </c>
      <c r="E22" s="937">
        <f t="shared" si="1"/>
        <v>17.952000000000002</v>
      </c>
      <c r="F22" s="937">
        <f t="shared" si="2"/>
        <v>10196.735999999999</v>
      </c>
      <c r="G22" s="937">
        <f t="shared" si="3"/>
        <v>159069.08159999998</v>
      </c>
      <c r="H22" s="937">
        <f t="shared" si="4"/>
        <v>38176.579583999992</v>
      </c>
      <c r="I22" s="937">
        <f t="shared" si="5"/>
        <v>11182.359190818814</v>
      </c>
      <c r="J22" s="833">
        <f t="shared" si="6"/>
        <v>1.5017941432740818</v>
      </c>
      <c r="K22" s="924">
        <f t="shared" si="7"/>
        <v>14761.610772479999</v>
      </c>
      <c r="L22" s="924">
        <f t="shared" si="8"/>
        <v>665846.86079999991</v>
      </c>
      <c r="M22" s="924">
        <f t="shared" si="9"/>
        <v>56124.68448881017</v>
      </c>
      <c r="N22" s="924">
        <f t="shared" si="10"/>
        <v>1268.1803523044912</v>
      </c>
      <c r="O22" s="924">
        <f t="shared" si="11"/>
        <v>639212.98636799993</v>
      </c>
      <c r="P22" s="956">
        <f t="shared" si="12"/>
        <v>79901.623295999991</v>
      </c>
      <c r="Q22" s="924">
        <f t="shared" si="13"/>
        <v>7782.4181090303991</v>
      </c>
      <c r="R22" s="924">
        <f t="shared" si="14"/>
        <v>5601.3274252252577</v>
      </c>
    </row>
    <row r="23" spans="1:18" x14ac:dyDescent="0.25">
      <c r="A23" s="784" t="s">
        <v>348</v>
      </c>
      <c r="B23" s="447">
        <v>521</v>
      </c>
      <c r="C23" s="429">
        <v>179.09200000000001</v>
      </c>
      <c r="D23" s="937">
        <f t="shared" si="0"/>
        <v>179.09200000000001</v>
      </c>
      <c r="E23" s="937">
        <f t="shared" si="1"/>
        <v>89.546000000000006</v>
      </c>
      <c r="F23" s="937">
        <f t="shared" si="2"/>
        <v>50862.127999999997</v>
      </c>
      <c r="G23" s="937">
        <f t="shared" si="3"/>
        <v>793449.19679999992</v>
      </c>
      <c r="H23" s="937">
        <f t="shared" si="4"/>
        <v>190427.80723199996</v>
      </c>
      <c r="I23" s="937">
        <f t="shared" si="5"/>
        <v>55778.494658035954</v>
      </c>
      <c r="J23" s="833">
        <f t="shared" si="6"/>
        <v>7.4910683129245168</v>
      </c>
      <c r="K23" s="924">
        <f t="shared" si="7"/>
        <v>73632.085463039999</v>
      </c>
      <c r="L23" s="924">
        <f t="shared" si="8"/>
        <v>3321296.9583999999</v>
      </c>
      <c r="M23" s="924">
        <f t="shared" si="9"/>
        <v>279954.37818822393</v>
      </c>
      <c r="N23" s="924">
        <f t="shared" si="10"/>
        <v>6325.7841927059926</v>
      </c>
      <c r="O23" s="924">
        <f t="shared" si="11"/>
        <v>3188445.0800639996</v>
      </c>
      <c r="P23" s="956">
        <f t="shared" si="12"/>
        <v>398555.63500799995</v>
      </c>
      <c r="Q23" s="924">
        <f t="shared" si="13"/>
        <v>38819.318849779193</v>
      </c>
      <c r="R23" s="924">
        <f t="shared" si="14"/>
        <v>27939.86550909208</v>
      </c>
    </row>
    <row r="24" spans="1:18" x14ac:dyDescent="0.25">
      <c r="A24" s="784" t="s">
        <v>349</v>
      </c>
      <c r="B24" s="447">
        <v>103</v>
      </c>
      <c r="C24" s="429">
        <v>0</v>
      </c>
      <c r="D24" s="937">
        <f t="shared" si="0"/>
        <v>0</v>
      </c>
      <c r="E24" s="937">
        <f t="shared" si="1"/>
        <v>0</v>
      </c>
      <c r="F24" s="937">
        <f t="shared" si="2"/>
        <v>0</v>
      </c>
      <c r="G24" s="937">
        <f t="shared" si="3"/>
        <v>0</v>
      </c>
      <c r="H24" s="937">
        <f t="shared" si="4"/>
        <v>0</v>
      </c>
      <c r="I24" s="937">
        <f t="shared" si="5"/>
        <v>0</v>
      </c>
      <c r="J24" s="833">
        <f t="shared" si="6"/>
        <v>0</v>
      </c>
      <c r="K24" s="924">
        <f t="shared" si="7"/>
        <v>0</v>
      </c>
      <c r="L24" s="924">
        <f t="shared" si="8"/>
        <v>0</v>
      </c>
      <c r="M24" s="924">
        <f t="shared" si="9"/>
        <v>0</v>
      </c>
      <c r="N24" s="924">
        <f t="shared" si="10"/>
        <v>0</v>
      </c>
      <c r="O24" s="924">
        <f t="shared" si="11"/>
        <v>0</v>
      </c>
      <c r="P24" s="956">
        <f t="shared" si="12"/>
        <v>0</v>
      </c>
      <c r="Q24" s="924">
        <f t="shared" si="13"/>
        <v>0</v>
      </c>
      <c r="R24" s="924">
        <f t="shared" si="14"/>
        <v>0</v>
      </c>
    </row>
    <row r="25" spans="1:18" ht="13.8" thickBot="1" x14ac:dyDescent="0.3">
      <c r="A25" s="786" t="s">
        <v>350</v>
      </c>
      <c r="B25" s="448">
        <v>358</v>
      </c>
      <c r="C25" s="449">
        <v>107.679</v>
      </c>
      <c r="D25" s="937">
        <f t="shared" si="0"/>
        <v>107.679</v>
      </c>
      <c r="E25" s="937">
        <f t="shared" si="1"/>
        <v>53.839500000000001</v>
      </c>
      <c r="F25" s="937">
        <f t="shared" si="2"/>
        <v>30580.835999999999</v>
      </c>
      <c r="G25" s="937">
        <f t="shared" si="3"/>
        <v>477061.0416</v>
      </c>
      <c r="H25" s="937">
        <f t="shared" si="4"/>
        <v>114494.64998399999</v>
      </c>
      <c r="I25" s="937">
        <f t="shared" si="5"/>
        <v>33536.799668788415</v>
      </c>
      <c r="J25" s="833">
        <f t="shared" si="6"/>
        <v>4.5040021043229137</v>
      </c>
      <c r="K25" s="924">
        <f t="shared" si="7"/>
        <v>44271.264660480003</v>
      </c>
      <c r="L25" s="924">
        <f t="shared" si="8"/>
        <v>1996928.5907999999</v>
      </c>
      <c r="M25" s="924">
        <f t="shared" si="9"/>
        <v>168322.46827848128</v>
      </c>
      <c r="N25" s="924">
        <f t="shared" si="10"/>
        <v>3803.3754499720185</v>
      </c>
      <c r="O25" s="924">
        <f t="shared" si="11"/>
        <v>1917051.4471679998</v>
      </c>
      <c r="P25" s="956">
        <f t="shared" si="12"/>
        <v>239631.43089599998</v>
      </c>
      <c r="Q25" s="924">
        <f t="shared" si="13"/>
        <v>23340.101369270396</v>
      </c>
      <c r="R25" s="924">
        <f t="shared" si="14"/>
        <v>16798.833996792298</v>
      </c>
    </row>
    <row r="26" spans="1:18" ht="14.4" thickTop="1" thickBot="1" x14ac:dyDescent="0.3">
      <c r="A26" s="789" t="s">
        <v>351</v>
      </c>
      <c r="B26" s="451">
        <f t="shared" ref="B26" si="15">SUM(B5:B25)</f>
        <v>7418</v>
      </c>
      <c r="C26" s="452">
        <f t="shared" ref="C26:O26" si="16">SUM(C5:C25)</f>
        <v>1832.8520000000003</v>
      </c>
      <c r="D26" s="937">
        <f t="shared" si="16"/>
        <v>1832.8520000000003</v>
      </c>
      <c r="E26" s="937">
        <f t="shared" si="16"/>
        <v>916.42600000000016</v>
      </c>
      <c r="F26" s="939">
        <f t="shared" si="16"/>
        <v>520529.96799999988</v>
      </c>
      <c r="G26" s="937">
        <f t="shared" si="16"/>
        <v>8120267.5007999996</v>
      </c>
      <c r="H26" s="807">
        <f t="shared" si="16"/>
        <v>1948864.200192</v>
      </c>
      <c r="I26" s="937">
        <f t="shared" si="16"/>
        <v>570844.73617453885</v>
      </c>
      <c r="J26" s="934">
        <f t="shared" si="16"/>
        <v>76.664616730397356</v>
      </c>
      <c r="K26" s="934">
        <f t="shared" si="16"/>
        <v>753560.82407424005</v>
      </c>
      <c r="L26" s="964">
        <f t="shared" si="16"/>
        <v>33990606.910399996</v>
      </c>
      <c r="M26" s="934">
        <f t="shared" si="16"/>
        <v>2865091.3607031167</v>
      </c>
      <c r="N26" s="964">
        <f t="shared" si="16"/>
        <v>64738.939814003781</v>
      </c>
      <c r="O26" s="964">
        <f t="shared" si="16"/>
        <v>32630982.633983996</v>
      </c>
      <c r="P26" s="934">
        <f>SUM(P5:P25)</f>
        <v>4078872.8292479995</v>
      </c>
      <c r="Q26" s="964">
        <f>SUM(Q5:Q25)</f>
        <v>397282.21356875519</v>
      </c>
      <c r="R26" s="964">
        <f t="shared" ref="R26" si="17">SUM(R5:R25)</f>
        <v>285940.40145886154</v>
      </c>
    </row>
    <row r="29" spans="1:18" x14ac:dyDescent="0.25">
      <c r="A29" s="384" t="s">
        <v>1409</v>
      </c>
      <c r="C29" s="384" t="s">
        <v>1428</v>
      </c>
    </row>
    <row r="30" spans="1:18" x14ac:dyDescent="0.25">
      <c r="A30" s="474" t="s">
        <v>1410</v>
      </c>
      <c r="C30" s="384" t="s">
        <v>1432</v>
      </c>
      <c r="M30" s="384" t="s">
        <v>1470</v>
      </c>
    </row>
    <row r="31" spans="1:18" x14ac:dyDescent="0.25">
      <c r="H31" s="384" t="s">
        <v>154</v>
      </c>
      <c r="M31" s="384" t="s">
        <v>1471</v>
      </c>
    </row>
    <row r="32" spans="1:18" x14ac:dyDescent="0.25">
      <c r="A32" s="384" t="s">
        <v>1412</v>
      </c>
      <c r="C32" s="384" t="s">
        <v>1461</v>
      </c>
      <c r="M32" s="384" t="s">
        <v>1472</v>
      </c>
    </row>
    <row r="33" spans="1:13" x14ac:dyDescent="0.25">
      <c r="A33" s="384" t="s">
        <v>1414</v>
      </c>
      <c r="C33" s="384" t="s">
        <v>1467</v>
      </c>
      <c r="M33" s="384" t="s">
        <v>1473</v>
      </c>
    </row>
    <row r="34" spans="1:13" x14ac:dyDescent="0.25">
      <c r="A34" s="384" t="s">
        <v>1415</v>
      </c>
    </row>
    <row r="35" spans="1:13" x14ac:dyDescent="0.25">
      <c r="M35" s="384" t="s">
        <v>1474</v>
      </c>
    </row>
  </sheetData>
  <pageMargins left="0.7" right="0.7" top="0.75" bottom="0.75" header="0.3" footer="0.3"/>
  <pageSetup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5"/>
  <sheetViews>
    <sheetView workbookViewId="0">
      <selection activeCell="D25" sqref="D25"/>
    </sheetView>
  </sheetViews>
  <sheetFormatPr defaultRowHeight="14.4" x14ac:dyDescent="0.3"/>
  <cols>
    <col min="1" max="1" width="13" customWidth="1"/>
    <col min="2" max="2" width="15.6640625" style="650" customWidth="1"/>
    <col min="3" max="3" width="13.88671875" customWidth="1"/>
    <col min="4" max="4" width="19.109375" customWidth="1"/>
    <col min="5" max="5" width="20.6640625" customWidth="1"/>
    <col min="6" max="6" width="18" customWidth="1"/>
    <col min="7" max="7" width="18.33203125" customWidth="1"/>
    <col min="8" max="8" width="22.33203125" customWidth="1"/>
    <col min="9" max="9" width="21.44140625" customWidth="1"/>
    <col min="10" max="11" width="18.88671875" customWidth="1"/>
    <col min="12" max="12" width="18.109375" customWidth="1"/>
    <col min="13" max="14" width="17.88671875" customWidth="1"/>
    <col min="15" max="15" width="19.5546875" customWidth="1"/>
    <col min="16" max="16" width="20.33203125" customWidth="1"/>
  </cols>
  <sheetData>
    <row r="1" spans="2:16" ht="13.2" x14ac:dyDescent="0.25">
      <c r="B1" s="741" t="s">
        <v>1125</v>
      </c>
    </row>
    <row r="2" spans="2:16" ht="13.2" x14ac:dyDescent="0.25">
      <c r="B2" s="774" t="s">
        <v>1405</v>
      </c>
    </row>
    <row r="3" spans="2:16" ht="13.2" x14ac:dyDescent="0.25">
      <c r="B3" s="724"/>
    </row>
    <row r="4" spans="2:16" ht="88.5" customHeight="1" x14ac:dyDescent="0.25">
      <c r="B4" s="919" t="s">
        <v>322</v>
      </c>
      <c r="C4" s="920" t="s">
        <v>1399</v>
      </c>
      <c r="D4" s="921" t="s">
        <v>1385</v>
      </c>
      <c r="E4" s="921" t="s">
        <v>1384</v>
      </c>
      <c r="F4" s="921" t="s">
        <v>1386</v>
      </c>
      <c r="G4" s="921" t="s">
        <v>1387</v>
      </c>
      <c r="H4" s="921" t="s">
        <v>1400</v>
      </c>
      <c r="I4" s="921" t="s">
        <v>1401</v>
      </c>
      <c r="J4" s="936" t="s">
        <v>1402</v>
      </c>
      <c r="K4" s="936" t="s">
        <v>1403</v>
      </c>
      <c r="L4" s="921" t="s">
        <v>1385</v>
      </c>
      <c r="M4" s="921" t="s">
        <v>1404</v>
      </c>
      <c r="N4" s="921" t="s">
        <v>1430</v>
      </c>
      <c r="O4" s="936" t="s">
        <v>1431</v>
      </c>
      <c r="P4" s="936" t="s">
        <v>1442</v>
      </c>
    </row>
    <row r="5" spans="2:16" ht="13.2" x14ac:dyDescent="0.25">
      <c r="B5" s="784" t="s">
        <v>403</v>
      </c>
      <c r="C5" s="935">
        <f>IF('Bioenergy Calculator'!$H$75="No",'Biomass Data Assumptions'!I7,'Biomass Data Assumptions'!F7*'Biomass Data Assumptions'!$I$41)</f>
        <v>237557.64</v>
      </c>
      <c r="D5" s="922">
        <f>C5*700/1000</f>
        <v>166290.348</v>
      </c>
      <c r="E5" s="922">
        <f>D5/7446</f>
        <v>22.332842868654311</v>
      </c>
      <c r="F5" s="922">
        <f>C5*900/1000</f>
        <v>213801.87599999999</v>
      </c>
      <c r="G5" s="924">
        <f>F5/7446</f>
        <v>28.713655116841256</v>
      </c>
      <c r="H5" s="833">
        <f>C5*0.4</f>
        <v>95023.056000000011</v>
      </c>
      <c r="I5" s="938">
        <f>C5*0.62*0.06</f>
        <v>8837.1442079999997</v>
      </c>
      <c r="J5" s="938">
        <f>C5*0.38*2.82</f>
        <v>254566.767024</v>
      </c>
      <c r="K5" s="937">
        <f>IF('Bioenergy Calculator'!$H$75="No",'Biomass Data Assumptions'!H7,'Biomass Data Assumptions'!F7*'Biomass Data Assumptions'!$I$41)</f>
        <v>4265.8999999999996</v>
      </c>
      <c r="L5" s="937">
        <f>K5*600/1000</f>
        <v>2559.54</v>
      </c>
      <c r="M5" s="833">
        <f>L5/7446</f>
        <v>0.34374697824335215</v>
      </c>
      <c r="N5" s="924">
        <f>C5* 9.95</f>
        <v>2363698.5180000002</v>
      </c>
      <c r="O5" s="924">
        <f>N5*0.0907</f>
        <v>214387.45558260003</v>
      </c>
      <c r="P5" s="952">
        <f>C5*0.995</f>
        <v>236369.8518</v>
      </c>
    </row>
    <row r="6" spans="2:16" ht="13.2" x14ac:dyDescent="0.25">
      <c r="B6" s="784" t="s">
        <v>325</v>
      </c>
      <c r="C6" s="935">
        <f>IF('Bioenergy Calculator'!$H$75="No",'Biomass Data Assumptions'!I8,'Biomass Data Assumptions'!F8*'Biomass Data Assumptions'!$I$41)</f>
        <v>546419.4</v>
      </c>
      <c r="D6" s="922">
        <f t="shared" ref="D6:D25" si="0">C6*600/1000</f>
        <v>327851.64</v>
      </c>
      <c r="E6" s="922">
        <f t="shared" ref="E6:E25" si="1">D6/7446</f>
        <v>44.030572119258665</v>
      </c>
      <c r="F6" s="922">
        <f t="shared" ref="F6:F25" si="2">C6*900/1000</f>
        <v>491777.46</v>
      </c>
      <c r="G6" s="924">
        <f t="shared" ref="G6:G25" si="3">F6/7446</f>
        <v>66.045858178887997</v>
      </c>
      <c r="H6" s="833">
        <f t="shared" ref="H6:H25" si="4">C6*0.4</f>
        <v>218567.76</v>
      </c>
      <c r="I6" s="938">
        <f t="shared" ref="I6:I25" si="5">C6*0.62*0.06</f>
        <v>20326.80168</v>
      </c>
      <c r="J6" s="938">
        <f t="shared" ref="J6:J25" si="6">C6*0.38*2.82</f>
        <v>585543.02903999994</v>
      </c>
      <c r="K6" s="937">
        <f>IF('Bioenergy Calculator'!$H$75="No",'Biomass Data Assumptions'!H8,'Biomass Data Assumptions'!F8*'Biomass Data Assumptions'!$I$41)</f>
        <v>63469.9</v>
      </c>
      <c r="L6" s="937">
        <f t="shared" ref="L6:L25" si="7">K6*600/1000</f>
        <v>38081.94</v>
      </c>
      <c r="M6" s="833">
        <f t="shared" ref="M6:M25" si="8">L6/7446</f>
        <v>5.1144157937147465</v>
      </c>
      <c r="N6" s="924">
        <f t="shared" ref="N6:N25" si="9">C6* 9.95</f>
        <v>5436873.0300000003</v>
      </c>
      <c r="O6" s="924">
        <f t="shared" ref="O6:O25" si="10">N6*0.0907</f>
        <v>493124.38382100005</v>
      </c>
      <c r="P6" s="952">
        <f t="shared" ref="P6:P25" si="11">C6*0.995</f>
        <v>543687.30300000007</v>
      </c>
    </row>
    <row r="7" spans="2:16" ht="13.2" x14ac:dyDescent="0.25">
      <c r="B7" s="784" t="s">
        <v>328</v>
      </c>
      <c r="C7" s="935">
        <f>IF('Bioenergy Calculator'!$H$75="No",'Biomass Data Assumptions'!I9,'Biomass Data Assumptions'!F9*'Biomass Data Assumptions'!$I$41)</f>
        <v>266576.26999999996</v>
      </c>
      <c r="D7" s="922">
        <f t="shared" si="0"/>
        <v>159945.76199999996</v>
      </c>
      <c r="E7" s="922">
        <f t="shared" si="1"/>
        <v>21.480763094278803</v>
      </c>
      <c r="F7" s="922">
        <f t="shared" si="2"/>
        <v>239918.64299999998</v>
      </c>
      <c r="G7" s="924">
        <f t="shared" si="3"/>
        <v>32.221144641418206</v>
      </c>
      <c r="H7" s="833">
        <f t="shared" si="4"/>
        <v>106630.50799999999</v>
      </c>
      <c r="I7" s="938">
        <f t="shared" si="5"/>
        <v>9916.6372439999977</v>
      </c>
      <c r="J7" s="938">
        <f t="shared" si="6"/>
        <v>285663.13093199994</v>
      </c>
      <c r="K7" s="937">
        <f>IF('Bioenergy Calculator'!$H$75="No",'Biomass Data Assumptions'!H9,'Biomass Data Assumptions'!F9*'Biomass Data Assumptions'!$I$41)</f>
        <v>48181.7</v>
      </c>
      <c r="L7" s="937">
        <f t="shared" si="7"/>
        <v>28909.02</v>
      </c>
      <c r="M7" s="833">
        <f t="shared" si="8"/>
        <v>3.8824899274778404</v>
      </c>
      <c r="N7" s="924">
        <f t="shared" si="9"/>
        <v>2652433.8864999996</v>
      </c>
      <c r="O7" s="924">
        <f t="shared" si="10"/>
        <v>240575.75350554998</v>
      </c>
      <c r="P7" s="952">
        <f t="shared" si="11"/>
        <v>265243.38864999998</v>
      </c>
    </row>
    <row r="8" spans="2:16" ht="13.2" x14ac:dyDescent="0.25">
      <c r="B8" s="784" t="s">
        <v>331</v>
      </c>
      <c r="C8" s="935">
        <f>IF('Bioenergy Calculator'!$H$75="No",'Biomass Data Assumptions'!I10,'Biomass Data Assumptions'!F10*'Biomass Data Assumptions'!$I$41)</f>
        <v>84631.789999999979</v>
      </c>
      <c r="D8" s="922">
        <f t="shared" si="0"/>
        <v>50779.073999999986</v>
      </c>
      <c r="E8" s="922">
        <f t="shared" si="1"/>
        <v>6.8196446414182095</v>
      </c>
      <c r="F8" s="922">
        <f t="shared" si="2"/>
        <v>76168.61099999999</v>
      </c>
      <c r="G8" s="924">
        <f t="shared" si="3"/>
        <v>10.229466962127315</v>
      </c>
      <c r="H8" s="833">
        <f t="shared" si="4"/>
        <v>33852.715999999993</v>
      </c>
      <c r="I8" s="938">
        <f t="shared" si="5"/>
        <v>3148.3025879999991</v>
      </c>
      <c r="J8" s="938">
        <f t="shared" si="6"/>
        <v>90691.426163999975</v>
      </c>
      <c r="K8" s="937">
        <f>IF('Bioenergy Calculator'!$H$75="No",'Biomass Data Assumptions'!H10,'Biomass Data Assumptions'!F10*'Biomass Data Assumptions'!$I$41)</f>
        <v>279236.40000000002</v>
      </c>
      <c r="L8" s="937">
        <f t="shared" si="7"/>
        <v>167541.84</v>
      </c>
      <c r="M8" s="833">
        <f t="shared" si="8"/>
        <v>22.50091861402095</v>
      </c>
      <c r="N8" s="924">
        <f t="shared" si="9"/>
        <v>842086.31049999979</v>
      </c>
      <c r="O8" s="924">
        <f t="shared" si="10"/>
        <v>76377.228362349982</v>
      </c>
      <c r="P8" s="952">
        <f t="shared" si="11"/>
        <v>84208.631049999982</v>
      </c>
    </row>
    <row r="9" spans="2:16" ht="13.2" x14ac:dyDescent="0.25">
      <c r="B9" s="784" t="s">
        <v>333</v>
      </c>
      <c r="C9" s="935">
        <f>IF('Bioenergy Calculator'!$H$75="No",'Biomass Data Assumptions'!I11,'Biomass Data Assumptions'!F11*'Biomass Data Assumptions'!$I$41)</f>
        <v>91009.32</v>
      </c>
      <c r="D9" s="922">
        <f t="shared" si="0"/>
        <v>54605.592000000004</v>
      </c>
      <c r="E9" s="922">
        <f t="shared" si="1"/>
        <v>7.3335471394037075</v>
      </c>
      <c r="F9" s="922">
        <f t="shared" si="2"/>
        <v>81908.388000000006</v>
      </c>
      <c r="G9" s="924">
        <f t="shared" si="3"/>
        <v>11.00032070910556</v>
      </c>
      <c r="H9" s="833">
        <f t="shared" si="4"/>
        <v>36403.728000000003</v>
      </c>
      <c r="I9" s="938">
        <f t="shared" si="5"/>
        <v>3385.5467039999999</v>
      </c>
      <c r="J9" s="938">
        <f t="shared" si="6"/>
        <v>97525.587312000003</v>
      </c>
      <c r="K9" s="937">
        <f>IF('Bioenergy Calculator'!$H$75="No",'Biomass Data Assumptions'!H11,'Biomass Data Assumptions'!F11*'Biomass Data Assumptions'!$I$41)</f>
        <v>15.7</v>
      </c>
      <c r="L9" s="937">
        <f t="shared" si="7"/>
        <v>9.42</v>
      </c>
      <c r="M9" s="833">
        <f t="shared" si="8"/>
        <v>1.265108783239323E-3</v>
      </c>
      <c r="N9" s="924">
        <f t="shared" si="9"/>
        <v>905542.73400000005</v>
      </c>
      <c r="O9" s="924">
        <f t="shared" si="10"/>
        <v>82132.725973800014</v>
      </c>
      <c r="P9" s="952">
        <f t="shared" si="11"/>
        <v>90554.273400000005</v>
      </c>
    </row>
    <row r="10" spans="2:16" ht="13.2" x14ac:dyDescent="0.25">
      <c r="B10" s="784" t="s">
        <v>335</v>
      </c>
      <c r="C10" s="935">
        <f>IF('Bioenergy Calculator'!$H$75="No",'Biomass Data Assumptions'!I12,'Biomass Data Assumptions'!F12*'Biomass Data Assumptions'!$I$41)</f>
        <v>113785.04000000001</v>
      </c>
      <c r="D10" s="922">
        <f t="shared" si="0"/>
        <v>68271.024000000005</v>
      </c>
      <c r="E10" s="922">
        <f t="shared" si="1"/>
        <v>9.1688186946011285</v>
      </c>
      <c r="F10" s="922">
        <f t="shared" si="2"/>
        <v>102406.53599999999</v>
      </c>
      <c r="G10" s="924">
        <f t="shared" si="3"/>
        <v>13.753228041901691</v>
      </c>
      <c r="H10" s="833">
        <f t="shared" si="4"/>
        <v>45514.016000000003</v>
      </c>
      <c r="I10" s="938">
        <f t="shared" si="5"/>
        <v>4232.8034880000005</v>
      </c>
      <c r="J10" s="938">
        <f t="shared" si="6"/>
        <v>121932.04886400001</v>
      </c>
      <c r="K10" s="937">
        <f>IF('Bioenergy Calculator'!$H$75="No",'Biomass Data Assumptions'!H12,'Biomass Data Assumptions'!F12*'Biomass Data Assumptions'!$I$41)</f>
        <v>165.2</v>
      </c>
      <c r="L10" s="937">
        <f t="shared" si="7"/>
        <v>99.12</v>
      </c>
      <c r="M10" s="833">
        <f t="shared" si="8"/>
        <v>1.331184528605963E-2</v>
      </c>
      <c r="N10" s="924">
        <f t="shared" si="9"/>
        <v>1132161.148</v>
      </c>
      <c r="O10" s="924">
        <f t="shared" si="10"/>
        <v>102687.01612360001</v>
      </c>
      <c r="P10" s="952">
        <f t="shared" si="11"/>
        <v>113216.11480000001</v>
      </c>
    </row>
    <row r="11" spans="2:16" ht="13.2" x14ac:dyDescent="0.25">
      <c r="B11" s="784" t="s">
        <v>336</v>
      </c>
      <c r="C11" s="935">
        <f>IF('Bioenergy Calculator'!$H$75="No",'Biomass Data Assumptions'!I13,'Biomass Data Assumptions'!F13*'Biomass Data Assumptions'!$I$41)</f>
        <v>101272.90999999997</v>
      </c>
      <c r="D11" s="922">
        <f t="shared" si="0"/>
        <v>60763.745999999985</v>
      </c>
      <c r="E11" s="922">
        <f t="shared" si="1"/>
        <v>8.1605890410958892</v>
      </c>
      <c r="F11" s="922">
        <f t="shared" si="2"/>
        <v>91145.618999999977</v>
      </c>
      <c r="G11" s="924">
        <f t="shared" si="3"/>
        <v>12.240883561643832</v>
      </c>
      <c r="H11" s="833">
        <f t="shared" si="4"/>
        <v>40509.16399999999</v>
      </c>
      <c r="I11" s="938">
        <f t="shared" si="5"/>
        <v>3767.3522519999988</v>
      </c>
      <c r="J11" s="938">
        <f t="shared" si="6"/>
        <v>108524.05035599996</v>
      </c>
      <c r="K11" s="937">
        <f>IF('Bioenergy Calculator'!$H$75="No",'Biomass Data Assumptions'!H13,'Biomass Data Assumptions'!F13*'Biomass Data Assumptions'!$I$41)</f>
        <v>352844.7</v>
      </c>
      <c r="L11" s="937">
        <f t="shared" si="7"/>
        <v>211706.82</v>
      </c>
      <c r="M11" s="833">
        <f t="shared" si="8"/>
        <v>28.43228847703465</v>
      </c>
      <c r="N11" s="924">
        <f t="shared" si="9"/>
        <v>1007665.4544999996</v>
      </c>
      <c r="O11" s="924">
        <f t="shared" si="10"/>
        <v>91395.256723149971</v>
      </c>
      <c r="P11" s="952">
        <f t="shared" si="11"/>
        <v>100766.54544999998</v>
      </c>
    </row>
    <row r="12" spans="2:16" ht="13.2" x14ac:dyDescent="0.25">
      <c r="B12" s="784" t="s">
        <v>337</v>
      </c>
      <c r="C12" s="935">
        <f>IF('Bioenergy Calculator'!$H$75="No",'Biomass Data Assumptions'!I14,'Biomass Data Assumptions'!F14*'Biomass Data Assumptions'!$I$41)</f>
        <v>25379.160000000003</v>
      </c>
      <c r="D12" s="922">
        <f t="shared" si="0"/>
        <v>15227.496000000001</v>
      </c>
      <c r="E12" s="922">
        <f t="shared" si="1"/>
        <v>2.0450572119258665</v>
      </c>
      <c r="F12" s="922">
        <f t="shared" si="2"/>
        <v>22841.244000000002</v>
      </c>
      <c r="G12" s="924">
        <f t="shared" si="3"/>
        <v>3.0675858178887996</v>
      </c>
      <c r="H12" s="833">
        <f t="shared" si="4"/>
        <v>10151.664000000002</v>
      </c>
      <c r="I12" s="938">
        <f t="shared" si="5"/>
        <v>944.10475200000008</v>
      </c>
      <c r="J12" s="938">
        <f t="shared" si="6"/>
        <v>27196.307856000003</v>
      </c>
      <c r="K12" s="937">
        <f>IF('Bioenergy Calculator'!$H$75="No",'Biomass Data Assumptions'!H14,'Biomass Data Assumptions'!F14*'Biomass Data Assumptions'!$I$41)</f>
        <v>158659</v>
      </c>
      <c r="L12" s="937">
        <f t="shared" si="7"/>
        <v>95195.4</v>
      </c>
      <c r="M12" s="833">
        <f t="shared" si="8"/>
        <v>12.784770346494762</v>
      </c>
      <c r="N12" s="924">
        <f t="shared" si="9"/>
        <v>252522.64200000002</v>
      </c>
      <c r="O12" s="924">
        <f t="shared" si="10"/>
        <v>22903.803629400001</v>
      </c>
      <c r="P12" s="952">
        <f t="shared" si="11"/>
        <v>25252.264200000005</v>
      </c>
    </row>
    <row r="13" spans="2:16" ht="13.2" x14ac:dyDescent="0.25">
      <c r="B13" s="784" t="s">
        <v>338</v>
      </c>
      <c r="C13" s="935">
        <f>IF('Bioenergy Calculator'!$H$75="No",'Biomass Data Assumptions'!I15,'Biomass Data Assumptions'!F15*'Biomass Data Assumptions'!$I$41)</f>
        <v>368946.44</v>
      </c>
      <c r="D13" s="922">
        <f t="shared" si="0"/>
        <v>221367.864</v>
      </c>
      <c r="E13" s="922">
        <f t="shared" si="1"/>
        <v>29.729769540692988</v>
      </c>
      <c r="F13" s="922">
        <f t="shared" si="2"/>
        <v>332051.79599999997</v>
      </c>
      <c r="G13" s="924">
        <f t="shared" si="3"/>
        <v>44.594654311039484</v>
      </c>
      <c r="H13" s="833">
        <f t="shared" si="4"/>
        <v>147578.576</v>
      </c>
      <c r="I13" s="938">
        <f t="shared" si="5"/>
        <v>13724.807567999998</v>
      </c>
      <c r="J13" s="938">
        <f t="shared" si="6"/>
        <v>395363.00510399998</v>
      </c>
      <c r="K13" s="937">
        <f>IF('Bioenergy Calculator'!$H$75="No",'Biomass Data Assumptions'!H15,'Biomass Data Assumptions'!F15*'Biomass Data Assumptions'!$I$41)</f>
        <v>935.4</v>
      </c>
      <c r="L13" s="937">
        <f t="shared" si="7"/>
        <v>561.24</v>
      </c>
      <c r="M13" s="833">
        <f t="shared" si="8"/>
        <v>7.5374697824335216E-2</v>
      </c>
      <c r="N13" s="924">
        <f t="shared" si="9"/>
        <v>3671017.0779999997</v>
      </c>
      <c r="O13" s="924">
        <f t="shared" si="10"/>
        <v>332961.24897459999</v>
      </c>
      <c r="P13" s="952">
        <f t="shared" si="11"/>
        <v>367101.70779999997</v>
      </c>
    </row>
    <row r="14" spans="2:16" ht="13.2" x14ac:dyDescent="0.25">
      <c r="B14" s="784" t="s">
        <v>339</v>
      </c>
      <c r="C14" s="935">
        <f>IF('Bioenergy Calculator'!$H$75="No",'Biomass Data Assumptions'!I16,'Biomass Data Assumptions'!F16*'Biomass Data Assumptions'!$I$41)</f>
        <v>49066.770000000004</v>
      </c>
      <c r="D14" s="922">
        <f t="shared" si="0"/>
        <v>29440.062000000005</v>
      </c>
      <c r="E14" s="922">
        <f t="shared" si="1"/>
        <v>3.9538090249798556</v>
      </c>
      <c r="F14" s="922">
        <f t="shared" si="2"/>
        <v>44160.093000000001</v>
      </c>
      <c r="G14" s="924">
        <f t="shared" si="3"/>
        <v>5.9307135374697824</v>
      </c>
      <c r="H14" s="833">
        <f t="shared" si="4"/>
        <v>19626.708000000002</v>
      </c>
      <c r="I14" s="938">
        <f t="shared" si="5"/>
        <v>1825.283844</v>
      </c>
      <c r="J14" s="938">
        <f t="shared" si="6"/>
        <v>52579.950732000005</v>
      </c>
      <c r="K14" s="937">
        <f>IF('Bioenergy Calculator'!$H$75="No",'Biomass Data Assumptions'!H16,'Biomass Data Assumptions'!F16*'Biomass Data Assumptions'!$I$41)</f>
        <v>27109.3</v>
      </c>
      <c r="L14" s="937">
        <f t="shared" si="7"/>
        <v>16265.58</v>
      </c>
      <c r="M14" s="833">
        <f t="shared" si="8"/>
        <v>2.1844721998388397</v>
      </c>
      <c r="N14" s="924">
        <f t="shared" si="9"/>
        <v>488214.3615</v>
      </c>
      <c r="O14" s="924">
        <f t="shared" si="10"/>
        <v>44281.042588050004</v>
      </c>
      <c r="P14" s="952">
        <f t="shared" si="11"/>
        <v>48821.436150000001</v>
      </c>
    </row>
    <row r="15" spans="2:16" ht="13.2" x14ac:dyDescent="0.25">
      <c r="B15" s="784" t="s">
        <v>340</v>
      </c>
      <c r="C15" s="935">
        <f>IF('Bioenergy Calculator'!$H$75="No",'Biomass Data Assumptions'!I17,'Biomass Data Assumptions'!F17*'Biomass Data Assumptions'!$I$41)</f>
        <v>235768.83</v>
      </c>
      <c r="D15" s="922">
        <f t="shared" si="0"/>
        <v>141461.29800000001</v>
      </c>
      <c r="E15" s="922">
        <f t="shared" si="1"/>
        <v>18.99829411764706</v>
      </c>
      <c r="F15" s="922">
        <f t="shared" si="2"/>
        <v>212191.94699999999</v>
      </c>
      <c r="G15" s="924">
        <f t="shared" si="3"/>
        <v>28.497441176470588</v>
      </c>
      <c r="H15" s="833">
        <f t="shared" si="4"/>
        <v>94307.532000000007</v>
      </c>
      <c r="I15" s="938">
        <f t="shared" si="5"/>
        <v>8770.6004759999996</v>
      </c>
      <c r="J15" s="938">
        <f t="shared" si="6"/>
        <v>252649.87822799999</v>
      </c>
      <c r="K15" s="937">
        <f>IF('Bioenergy Calculator'!$H$75="No",'Biomass Data Assumptions'!H17,'Biomass Data Assumptions'!F17*'Biomass Data Assumptions'!$I$41)</f>
        <v>120.7</v>
      </c>
      <c r="L15" s="937">
        <f t="shared" si="7"/>
        <v>72.42</v>
      </c>
      <c r="M15" s="833">
        <f t="shared" si="8"/>
        <v>9.726027397260275E-3</v>
      </c>
      <c r="N15" s="924">
        <f t="shared" si="9"/>
        <v>2345899.8584999996</v>
      </c>
      <c r="O15" s="924">
        <f t="shared" si="10"/>
        <v>212773.11716594998</v>
      </c>
      <c r="P15" s="952">
        <f t="shared" si="11"/>
        <v>234589.98585</v>
      </c>
    </row>
    <row r="16" spans="2:16" ht="13.2" x14ac:dyDescent="0.25">
      <c r="B16" s="784" t="s">
        <v>341</v>
      </c>
      <c r="C16" s="935">
        <f>IF('Bioenergy Calculator'!$H$75="No",'Biomass Data Assumptions'!I18,'Biomass Data Assumptions'!F18*'Biomass Data Assumptions'!$I$41)</f>
        <v>534640.15</v>
      </c>
      <c r="D16" s="922">
        <f t="shared" si="0"/>
        <v>320784.09000000003</v>
      </c>
      <c r="E16" s="922">
        <f t="shared" si="1"/>
        <v>43.081398066075749</v>
      </c>
      <c r="F16" s="922">
        <f t="shared" si="2"/>
        <v>481176.13500000001</v>
      </c>
      <c r="G16" s="924">
        <f t="shared" si="3"/>
        <v>64.622097099113617</v>
      </c>
      <c r="H16" s="833">
        <f t="shared" si="4"/>
        <v>213856.06000000003</v>
      </c>
      <c r="I16" s="938">
        <f t="shared" si="5"/>
        <v>19888.613580000001</v>
      </c>
      <c r="J16" s="938">
        <f t="shared" si="6"/>
        <v>572920.38474000001</v>
      </c>
      <c r="K16" s="937">
        <f>IF('Bioenergy Calculator'!$H$75="No",'Biomass Data Assumptions'!H18,'Biomass Data Assumptions'!F18*'Biomass Data Assumptions'!$I$41)</f>
        <v>18671.900000000001</v>
      </c>
      <c r="L16" s="937">
        <f t="shared" si="7"/>
        <v>11203.14</v>
      </c>
      <c r="M16" s="833">
        <f t="shared" si="8"/>
        <v>1.5045850120870266</v>
      </c>
      <c r="N16" s="924">
        <f t="shared" si="9"/>
        <v>5319669.4924999997</v>
      </c>
      <c r="O16" s="924">
        <f t="shared" si="10"/>
        <v>482494.02296974999</v>
      </c>
      <c r="P16" s="952">
        <f t="shared" si="11"/>
        <v>531966.94925000006</v>
      </c>
    </row>
    <row r="17" spans="2:23" ht="13.2" x14ac:dyDescent="0.25">
      <c r="B17" s="784" t="s">
        <v>342</v>
      </c>
      <c r="C17" s="935">
        <f>IF('Bioenergy Calculator'!$H$75="No",'Biomass Data Assumptions'!I19,'Biomass Data Assumptions'!F19*'Biomass Data Assumptions'!$I$41)</f>
        <v>429744.57</v>
      </c>
      <c r="D17" s="922">
        <f t="shared" si="0"/>
        <v>257846.742</v>
      </c>
      <c r="E17" s="922">
        <f t="shared" si="1"/>
        <v>34.628893634165998</v>
      </c>
      <c r="F17" s="922">
        <f t="shared" si="2"/>
        <v>386770.11300000001</v>
      </c>
      <c r="G17" s="924">
        <f t="shared" si="3"/>
        <v>51.943340451248993</v>
      </c>
      <c r="H17" s="833">
        <f t="shared" si="4"/>
        <v>171897.82800000001</v>
      </c>
      <c r="I17" s="938">
        <f t="shared" si="5"/>
        <v>15986.498003999999</v>
      </c>
      <c r="J17" s="938">
        <f t="shared" si="6"/>
        <v>460514.281212</v>
      </c>
      <c r="K17" s="937">
        <f>IF('Bioenergy Calculator'!$H$75="No",'Biomass Data Assumptions'!H19,'Biomass Data Assumptions'!F19*'Biomass Data Assumptions'!$I$41)</f>
        <v>344.1</v>
      </c>
      <c r="L17" s="937">
        <f t="shared" si="7"/>
        <v>206.46</v>
      </c>
      <c r="M17" s="833">
        <f t="shared" si="8"/>
        <v>2.7727639000805802E-2</v>
      </c>
      <c r="N17" s="924">
        <f t="shared" si="9"/>
        <v>4275958.4715</v>
      </c>
      <c r="O17" s="924">
        <f t="shared" si="10"/>
        <v>387829.43336505</v>
      </c>
      <c r="P17" s="952">
        <f t="shared" si="11"/>
        <v>427595.84714999999</v>
      </c>
    </row>
    <row r="18" spans="2:23" ht="13.2" x14ac:dyDescent="0.25">
      <c r="B18" s="784" t="s">
        <v>343</v>
      </c>
      <c r="C18" s="935">
        <f>IF('Bioenergy Calculator'!$H$75="No",'Biomass Data Assumptions'!I20,'Biomass Data Assumptions'!F20*'Biomass Data Assumptions'!$I$41)</f>
        <v>283217.56</v>
      </c>
      <c r="D18" s="922">
        <f t="shared" si="0"/>
        <v>169930.53599999999</v>
      </c>
      <c r="E18" s="922">
        <f t="shared" si="1"/>
        <v>22.821721192586622</v>
      </c>
      <c r="F18" s="922">
        <f t="shared" si="2"/>
        <v>254895.804</v>
      </c>
      <c r="G18" s="924">
        <f t="shared" si="3"/>
        <v>34.232581788879934</v>
      </c>
      <c r="H18" s="833">
        <f t="shared" si="4"/>
        <v>113287.024</v>
      </c>
      <c r="I18" s="938">
        <f t="shared" si="5"/>
        <v>10535.693232</v>
      </c>
      <c r="J18" s="938">
        <f t="shared" si="6"/>
        <v>303495.93729599996</v>
      </c>
      <c r="K18" s="937">
        <f>IF('Bioenergy Calculator'!$H$75="No",'Biomass Data Assumptions'!H20,'Biomass Data Assumptions'!F20*'Biomass Data Assumptions'!$I$41)</f>
        <v>12709.6</v>
      </c>
      <c r="L18" s="937">
        <f t="shared" si="7"/>
        <v>7625.76</v>
      </c>
      <c r="M18" s="833">
        <f t="shared" si="8"/>
        <v>1.0241418211120066</v>
      </c>
      <c r="N18" s="924">
        <f t="shared" si="9"/>
        <v>2818014.7219999996</v>
      </c>
      <c r="O18" s="924">
        <f t="shared" si="10"/>
        <v>255593.93528539996</v>
      </c>
      <c r="P18" s="952">
        <f t="shared" si="11"/>
        <v>281801.47220000002</v>
      </c>
    </row>
    <row r="19" spans="2:23" ht="13.2" x14ac:dyDescent="0.25">
      <c r="B19" s="784" t="s">
        <v>344</v>
      </c>
      <c r="C19" s="935">
        <f>IF('Bioenergy Calculator'!$H$75="No",'Biomass Data Assumptions'!I21,'Biomass Data Assumptions'!F21*'Biomass Data Assumptions'!$I$41)</f>
        <v>391583.01999999996</v>
      </c>
      <c r="D19" s="922">
        <f t="shared" si="0"/>
        <v>234949.81199999998</v>
      </c>
      <c r="E19" s="922">
        <f t="shared" si="1"/>
        <v>31.553829170024169</v>
      </c>
      <c r="F19" s="922">
        <f t="shared" si="2"/>
        <v>352424.71799999994</v>
      </c>
      <c r="G19" s="924">
        <f t="shared" si="3"/>
        <v>47.330743755036252</v>
      </c>
      <c r="H19" s="833">
        <f t="shared" si="4"/>
        <v>156633.20799999998</v>
      </c>
      <c r="I19" s="938">
        <f t="shared" si="5"/>
        <v>14566.888343999997</v>
      </c>
      <c r="J19" s="938">
        <f t="shared" si="6"/>
        <v>419620.36423199996</v>
      </c>
      <c r="K19" s="937">
        <f>IF('Bioenergy Calculator'!$H$75="No",'Biomass Data Assumptions'!H21,'Biomass Data Assumptions'!F21*'Biomass Data Assumptions'!$I$41)</f>
        <v>156.9</v>
      </c>
      <c r="L19" s="937">
        <f t="shared" si="7"/>
        <v>94.14</v>
      </c>
      <c r="M19" s="833">
        <f t="shared" si="8"/>
        <v>1.2643029814665592E-2</v>
      </c>
      <c r="N19" s="924">
        <f t="shared" si="9"/>
        <v>3896251.0489999992</v>
      </c>
      <c r="O19" s="924">
        <f t="shared" si="10"/>
        <v>353389.97014429996</v>
      </c>
      <c r="P19" s="952">
        <f t="shared" si="11"/>
        <v>389625.10489999998</v>
      </c>
    </row>
    <row r="20" spans="2:23" ht="13.2" x14ac:dyDescent="0.25">
      <c r="B20" s="784" t="s">
        <v>345</v>
      </c>
      <c r="C20" s="935">
        <f>IF('Bioenergy Calculator'!$H$75="No",'Biomass Data Assumptions'!I22,'Biomass Data Assumptions'!F22*'Biomass Data Assumptions'!$I$41)</f>
        <v>335922.6</v>
      </c>
      <c r="D20" s="922">
        <f t="shared" si="0"/>
        <v>201553.56</v>
      </c>
      <c r="E20" s="922">
        <f t="shared" si="1"/>
        <v>27.068702659145849</v>
      </c>
      <c r="F20" s="922">
        <f t="shared" si="2"/>
        <v>302330.34000000003</v>
      </c>
      <c r="G20" s="924">
        <f t="shared" si="3"/>
        <v>40.603053988718777</v>
      </c>
      <c r="H20" s="833">
        <f t="shared" si="4"/>
        <v>134369.04</v>
      </c>
      <c r="I20" s="938">
        <f t="shared" si="5"/>
        <v>12496.32072</v>
      </c>
      <c r="J20" s="938">
        <f t="shared" si="6"/>
        <v>359974.65815999993</v>
      </c>
      <c r="K20" s="937">
        <f>IF('Bioenergy Calculator'!$H$75="No",'Biomass Data Assumptions'!H22,'Biomass Data Assumptions'!F22*'Biomass Data Assumptions'!$I$41)</f>
        <v>75330.5</v>
      </c>
      <c r="L20" s="937">
        <f t="shared" si="7"/>
        <v>45198.3</v>
      </c>
      <c r="M20" s="833">
        <f t="shared" si="8"/>
        <v>6.0701450443190978</v>
      </c>
      <c r="N20" s="924">
        <f t="shared" si="9"/>
        <v>3342429.8699999996</v>
      </c>
      <c r="O20" s="924">
        <f t="shared" si="10"/>
        <v>303158.38920899999</v>
      </c>
      <c r="P20" s="952">
        <f t="shared" si="11"/>
        <v>334242.98699999996</v>
      </c>
    </row>
    <row r="21" spans="2:23" ht="13.2" x14ac:dyDescent="0.25">
      <c r="B21" s="784" t="s">
        <v>346</v>
      </c>
      <c r="C21" s="935">
        <f>IF('Bioenergy Calculator'!$H$75="No",'Biomass Data Assumptions'!I23,'Biomass Data Assumptions'!F23*'Biomass Data Assumptions'!$I$41)</f>
        <v>40040.060000000005</v>
      </c>
      <c r="D21" s="922">
        <f t="shared" si="0"/>
        <v>24024.036000000004</v>
      </c>
      <c r="E21" s="922">
        <f t="shared" si="1"/>
        <v>3.2264351329572931</v>
      </c>
      <c r="F21" s="922">
        <f t="shared" si="2"/>
        <v>36036.054000000011</v>
      </c>
      <c r="G21" s="924">
        <f t="shared" si="3"/>
        <v>4.8396526994359403</v>
      </c>
      <c r="H21" s="833">
        <f t="shared" si="4"/>
        <v>16016.024000000003</v>
      </c>
      <c r="I21" s="938">
        <f t="shared" si="5"/>
        <v>1489.4902320000001</v>
      </c>
      <c r="J21" s="938">
        <f t="shared" si="6"/>
        <v>42906.928295999998</v>
      </c>
      <c r="K21" s="937">
        <f>IF('Bioenergy Calculator'!$H$75="No",'Biomass Data Assumptions'!H23,'Biomass Data Assumptions'!F23*'Biomass Data Assumptions'!$I$41)</f>
        <v>113.7</v>
      </c>
      <c r="L21" s="937">
        <f t="shared" si="7"/>
        <v>68.22</v>
      </c>
      <c r="M21" s="833">
        <f t="shared" si="8"/>
        <v>9.1619661563255433E-3</v>
      </c>
      <c r="N21" s="924">
        <f t="shared" si="9"/>
        <v>398398.59700000001</v>
      </c>
      <c r="O21" s="924">
        <f t="shared" si="10"/>
        <v>36134.752747900005</v>
      </c>
      <c r="P21" s="952">
        <f t="shared" si="11"/>
        <v>39839.859700000008</v>
      </c>
    </row>
    <row r="22" spans="2:23" ht="13.2" x14ac:dyDescent="0.25">
      <c r="B22" s="784" t="s">
        <v>347</v>
      </c>
      <c r="C22" s="935">
        <f>IF('Bioenergy Calculator'!$H$75="No",'Biomass Data Assumptions'!I24,'Biomass Data Assumptions'!F24*'Biomass Data Assumptions'!$I$41)</f>
        <v>199563.87</v>
      </c>
      <c r="D22" s="922">
        <f t="shared" si="0"/>
        <v>119738.322</v>
      </c>
      <c r="E22" s="922">
        <f t="shared" si="1"/>
        <v>16.080892022562448</v>
      </c>
      <c r="F22" s="922">
        <f t="shared" si="2"/>
        <v>179607.48300000001</v>
      </c>
      <c r="G22" s="924">
        <f t="shared" si="3"/>
        <v>24.121338033843674</v>
      </c>
      <c r="H22" s="833">
        <f t="shared" si="4"/>
        <v>79825.54800000001</v>
      </c>
      <c r="I22" s="938">
        <f t="shared" si="5"/>
        <v>7423.7759639999995</v>
      </c>
      <c r="J22" s="938">
        <f t="shared" si="6"/>
        <v>213852.64309199998</v>
      </c>
      <c r="K22" s="937">
        <f>IF('Bioenergy Calculator'!$H$75="No",'Biomass Data Assumptions'!H24,'Biomass Data Assumptions'!F24*'Biomass Data Assumptions'!$I$41)</f>
        <v>46828.9</v>
      </c>
      <c r="L22" s="937">
        <f t="shared" si="7"/>
        <v>28097.34</v>
      </c>
      <c r="M22" s="833">
        <f t="shared" si="8"/>
        <v>3.7734810636583402</v>
      </c>
      <c r="N22" s="924">
        <f t="shared" si="9"/>
        <v>1985660.5064999999</v>
      </c>
      <c r="O22" s="924">
        <f t="shared" si="10"/>
        <v>180099.40793955</v>
      </c>
      <c r="P22" s="952">
        <f t="shared" si="11"/>
        <v>198566.05064999999</v>
      </c>
    </row>
    <row r="23" spans="2:23" ht="13.2" x14ac:dyDescent="0.25">
      <c r="B23" s="784" t="s">
        <v>348</v>
      </c>
      <c r="C23" s="935">
        <f>IF('Bioenergy Calculator'!$H$75="No",'Biomass Data Assumptions'!I25,'Biomass Data Assumptions'!F25*'Biomass Data Assumptions'!$I$41)</f>
        <v>75304.95</v>
      </c>
      <c r="D23" s="922">
        <f t="shared" si="0"/>
        <v>45182.97</v>
      </c>
      <c r="E23" s="922">
        <f t="shared" si="1"/>
        <v>6.0680862207896862</v>
      </c>
      <c r="F23" s="922">
        <f t="shared" si="2"/>
        <v>67774.455000000002</v>
      </c>
      <c r="G23" s="924">
        <f t="shared" si="3"/>
        <v>9.1021293311845284</v>
      </c>
      <c r="H23" s="833">
        <f t="shared" si="4"/>
        <v>30121.98</v>
      </c>
      <c r="I23" s="938">
        <f t="shared" si="5"/>
        <v>2801.3441399999997</v>
      </c>
      <c r="J23" s="938">
        <f t="shared" si="6"/>
        <v>80696.784419999982</v>
      </c>
      <c r="K23" s="937">
        <f>IF('Bioenergy Calculator'!$H$75="No",'Biomass Data Assumptions'!H25,'Biomass Data Assumptions'!F25*'Biomass Data Assumptions'!$I$41)</f>
        <v>2975.8</v>
      </c>
      <c r="L23" s="937">
        <f t="shared" si="7"/>
        <v>1785.48</v>
      </c>
      <c r="M23" s="833">
        <f t="shared" si="8"/>
        <v>0.23979049153908139</v>
      </c>
      <c r="N23" s="924">
        <f t="shared" si="9"/>
        <v>749284.25249999994</v>
      </c>
      <c r="O23" s="924">
        <f t="shared" si="10"/>
        <v>67960.081701749994</v>
      </c>
      <c r="P23" s="952">
        <f t="shared" si="11"/>
        <v>74928.42525</v>
      </c>
    </row>
    <row r="24" spans="2:23" ht="13.2" x14ac:dyDescent="0.25">
      <c r="B24" s="784" t="s">
        <v>349</v>
      </c>
      <c r="C24" s="935">
        <f>IF('Bioenergy Calculator'!$H$75="No",'Biomass Data Assumptions'!I26,'Biomass Data Assumptions'!F26*'Biomass Data Assumptions'!$I$41)</f>
        <v>28563.049999999988</v>
      </c>
      <c r="D24" s="922">
        <f t="shared" si="0"/>
        <v>17137.829999999991</v>
      </c>
      <c r="E24" s="922">
        <f t="shared" si="1"/>
        <v>2.3016156325543902</v>
      </c>
      <c r="F24" s="922">
        <f t="shared" si="2"/>
        <v>25706.744999999988</v>
      </c>
      <c r="G24" s="924">
        <f t="shared" si="3"/>
        <v>3.4524234488315857</v>
      </c>
      <c r="H24" s="833">
        <f t="shared" si="4"/>
        <v>11425.219999999996</v>
      </c>
      <c r="I24" s="938">
        <f t="shared" si="5"/>
        <v>1062.5454599999996</v>
      </c>
      <c r="J24" s="938">
        <f t="shared" si="6"/>
        <v>30608.164379999984</v>
      </c>
      <c r="K24" s="937">
        <f>IF('Bioenergy Calculator'!$H$75="No",'Biomass Data Assumptions'!H26,'Biomass Data Assumptions'!F26*'Biomass Data Assumptions'!$I$41)</f>
        <v>319855</v>
      </c>
      <c r="L24" s="937">
        <f t="shared" si="7"/>
        <v>191913</v>
      </c>
      <c r="M24" s="833">
        <f t="shared" si="8"/>
        <v>25.773972602739725</v>
      </c>
      <c r="N24" s="924">
        <f t="shared" si="9"/>
        <v>284202.34749999986</v>
      </c>
      <c r="O24" s="924">
        <f t="shared" si="10"/>
        <v>25777.152918249987</v>
      </c>
      <c r="P24" s="952">
        <f t="shared" si="11"/>
        <v>28420.234749999989</v>
      </c>
    </row>
    <row r="25" spans="2:23" ht="13.2" x14ac:dyDescent="0.25">
      <c r="B25" s="784" t="s">
        <v>350</v>
      </c>
      <c r="C25" s="935">
        <f>IF('Bioenergy Calculator'!$H$75="No",'Biomass Data Assumptions'!I27,'Biomass Data Assumptions'!F27*'Biomass Data Assumptions'!$I$41)</f>
        <v>14937.149999999994</v>
      </c>
      <c r="D25" s="922">
        <f t="shared" si="0"/>
        <v>8962.2899999999954</v>
      </c>
      <c r="E25" s="922">
        <f t="shared" si="1"/>
        <v>1.2036381950040285</v>
      </c>
      <c r="F25" s="922">
        <f t="shared" si="2"/>
        <v>13443.434999999994</v>
      </c>
      <c r="G25" s="924">
        <f t="shared" si="3"/>
        <v>1.8054572925060428</v>
      </c>
      <c r="H25" s="833">
        <f t="shared" si="4"/>
        <v>5974.8599999999979</v>
      </c>
      <c r="I25" s="938">
        <f t="shared" si="5"/>
        <v>555.66197999999974</v>
      </c>
      <c r="J25" s="938">
        <f t="shared" si="6"/>
        <v>16006.649939999992</v>
      </c>
      <c r="K25" s="937">
        <f>IF('Bioenergy Calculator'!$H$75="No",'Biomass Data Assumptions'!H27,'Biomass Data Assumptions'!F27*'Biomass Data Assumptions'!$I$41)</f>
        <v>51546.8</v>
      </c>
      <c r="L25" s="937">
        <f t="shared" si="7"/>
        <v>30928.080000000002</v>
      </c>
      <c r="M25" s="833">
        <f t="shared" si="8"/>
        <v>4.1536502820306209</v>
      </c>
      <c r="N25" s="924">
        <f t="shared" si="9"/>
        <v>148624.64249999993</v>
      </c>
      <c r="O25" s="924">
        <f t="shared" si="10"/>
        <v>13480.255074749994</v>
      </c>
      <c r="P25" s="952">
        <f t="shared" si="11"/>
        <v>14862.464249999994</v>
      </c>
    </row>
    <row r="26" spans="2:23" ht="13.2" x14ac:dyDescent="0.25">
      <c r="B26" s="923" t="s">
        <v>351</v>
      </c>
      <c r="C26" s="924">
        <f t="shared" ref="C26:N26" si="12">SUM(C5:C25)</f>
        <v>4453930.55</v>
      </c>
      <c r="D26" s="924">
        <f t="shared" si="12"/>
        <v>2696114.0940000005</v>
      </c>
      <c r="E26" s="925">
        <f t="shared" si="12"/>
        <v>362.08891941982273</v>
      </c>
      <c r="F26" s="922">
        <f t="shared" si="12"/>
        <v>4008537.4950000001</v>
      </c>
      <c r="G26" s="925">
        <f t="shared" si="12"/>
        <v>538.3477699435939</v>
      </c>
      <c r="H26" s="934">
        <f t="shared" si="12"/>
        <v>1781572.22</v>
      </c>
      <c r="I26" s="940">
        <f t="shared" si="12"/>
        <v>165686.21646</v>
      </c>
      <c r="J26" s="940">
        <f t="shared" si="12"/>
        <v>4772831.9773800001</v>
      </c>
      <c r="K26" s="939">
        <f t="shared" si="12"/>
        <v>1463537.1</v>
      </c>
      <c r="L26" s="937">
        <f t="shared" si="12"/>
        <v>878122.25999999989</v>
      </c>
      <c r="M26" s="939">
        <f t="shared" si="12"/>
        <v>117.93207896857372</v>
      </c>
      <c r="N26" s="939">
        <f t="shared" si="12"/>
        <v>44316608.972499989</v>
      </c>
      <c r="O26" s="949">
        <f>SUM(O5:O25)</f>
        <v>4019516.4338057493</v>
      </c>
      <c r="P26" s="949">
        <f>SUM(P5:P25)</f>
        <v>4431660.8972500004</v>
      </c>
    </row>
    <row r="28" spans="2:23" x14ac:dyDescent="0.3">
      <c r="C28" s="927"/>
      <c r="D28" s="927"/>
      <c r="E28" s="927"/>
      <c r="F28" s="927"/>
      <c r="G28" s="927"/>
      <c r="H28" s="927"/>
      <c r="I28" s="927"/>
      <c r="J28" s="927"/>
      <c r="K28" s="927"/>
      <c r="L28" s="927"/>
      <c r="M28" s="927"/>
      <c r="N28" s="927"/>
      <c r="O28" s="927"/>
      <c r="P28" s="927"/>
      <c r="Q28" s="927"/>
      <c r="R28" s="927"/>
      <c r="S28" s="927"/>
      <c r="T28" s="927"/>
      <c r="U28" s="927"/>
      <c r="V28" s="927"/>
      <c r="W28" s="927"/>
    </row>
    <row r="29" spans="2:23" ht="13.2" x14ac:dyDescent="0.25">
      <c r="B29" s="916"/>
      <c r="C29" s="927"/>
      <c r="D29" s="927"/>
      <c r="E29" s="927"/>
      <c r="F29" s="927"/>
      <c r="G29" s="927"/>
      <c r="H29" s="927"/>
      <c r="I29" s="927"/>
      <c r="J29" s="927"/>
      <c r="K29" s="927"/>
      <c r="L29" s="927"/>
      <c r="M29" s="927"/>
      <c r="N29" s="927"/>
      <c r="O29" s="927"/>
      <c r="P29" s="927"/>
      <c r="Q29" s="927"/>
      <c r="R29" s="927"/>
      <c r="S29" s="927"/>
      <c r="T29" s="927"/>
      <c r="U29" s="927"/>
      <c r="V29" s="927"/>
      <c r="W29" s="927"/>
    </row>
    <row r="30" spans="2:23" ht="13.2" x14ac:dyDescent="0.25">
      <c r="B30" s="916"/>
      <c r="C30" s="926"/>
      <c r="D30" s="927"/>
      <c r="E30" s="927"/>
      <c r="F30" s="927"/>
      <c r="G30" s="951" t="s">
        <v>1440</v>
      </c>
      <c r="H30" s="927"/>
      <c r="I30" s="927"/>
      <c r="J30" s="927"/>
      <c r="K30" s="927"/>
      <c r="L30" s="927"/>
      <c r="M30" s="927"/>
      <c r="N30" s="927"/>
      <c r="O30" s="927"/>
      <c r="P30" s="927"/>
      <c r="Q30" s="927"/>
      <c r="R30" s="927"/>
      <c r="S30" s="927"/>
      <c r="T30" s="927"/>
      <c r="U30" s="927"/>
      <c r="V30" s="927"/>
      <c r="W30" s="927"/>
    </row>
    <row r="31" spans="2:23" ht="13.2" x14ac:dyDescent="0.25">
      <c r="B31" s="916"/>
      <c r="C31" s="927"/>
      <c r="D31" s="927"/>
      <c r="E31" s="927"/>
      <c r="F31" s="927"/>
      <c r="G31" s="951" t="s">
        <v>1441</v>
      </c>
      <c r="H31" s="927"/>
      <c r="I31" s="927"/>
      <c r="J31" s="927"/>
      <c r="K31" s="927"/>
      <c r="L31" s="927"/>
      <c r="M31" s="927"/>
      <c r="N31" s="927"/>
      <c r="O31" s="927"/>
      <c r="P31" s="927"/>
      <c r="Q31" s="927"/>
      <c r="R31" s="927"/>
      <c r="S31" s="927"/>
      <c r="T31" s="927"/>
      <c r="U31" s="927"/>
      <c r="V31" s="927"/>
      <c r="W31" s="927"/>
    </row>
    <row r="32" spans="2:23" ht="13.2" x14ac:dyDescent="0.25">
      <c r="B32" s="916"/>
      <c r="C32" s="927"/>
      <c r="D32" s="927"/>
      <c r="E32" s="927"/>
      <c r="F32" s="927"/>
      <c r="G32" s="927"/>
      <c r="H32" s="927"/>
      <c r="I32" s="927"/>
      <c r="J32" s="927"/>
      <c r="K32" s="927"/>
      <c r="L32" s="927"/>
      <c r="M32" s="927"/>
      <c r="N32" s="927"/>
      <c r="O32" s="927"/>
      <c r="P32" s="927"/>
      <c r="Q32" s="927"/>
      <c r="R32" s="927"/>
      <c r="S32" s="927"/>
      <c r="T32" s="927"/>
      <c r="U32" s="927"/>
      <c r="V32" s="927"/>
      <c r="W32" s="927"/>
    </row>
    <row r="33" spans="2:23" ht="13.2" x14ac:dyDescent="0.25">
      <c r="B33" s="916"/>
      <c r="C33" s="927"/>
      <c r="D33" s="927"/>
      <c r="E33" s="927"/>
      <c r="F33" s="927"/>
      <c r="G33" s="927"/>
      <c r="H33" s="927"/>
      <c r="I33" s="927"/>
      <c r="J33" s="927"/>
      <c r="K33" s="927"/>
      <c r="L33" s="927"/>
      <c r="M33" s="927"/>
      <c r="N33" s="927"/>
      <c r="O33" s="927"/>
      <c r="P33" s="927"/>
      <c r="Q33" s="927"/>
      <c r="R33" s="927"/>
      <c r="S33" s="927"/>
      <c r="T33" s="927"/>
      <c r="U33" s="927"/>
      <c r="V33" s="927"/>
      <c r="W33" s="927"/>
    </row>
    <row r="34" spans="2:23" ht="13.2" x14ac:dyDescent="0.25">
      <c r="B34" s="916"/>
      <c r="C34" s="927"/>
      <c r="D34" s="927"/>
      <c r="E34" s="927"/>
      <c r="F34" s="927"/>
      <c r="G34" s="927"/>
      <c r="H34" s="927"/>
      <c r="I34" s="927"/>
      <c r="J34" s="927"/>
      <c r="K34" s="927"/>
      <c r="L34" s="927"/>
      <c r="M34" s="927"/>
      <c r="N34" s="927"/>
      <c r="O34" s="927"/>
      <c r="P34" s="927"/>
      <c r="Q34" s="927"/>
      <c r="R34" s="927"/>
      <c r="S34" s="927"/>
      <c r="T34" s="927"/>
      <c r="U34" s="927"/>
      <c r="V34" s="927"/>
      <c r="W34" s="927"/>
    </row>
    <row r="35" spans="2:23" ht="15" x14ac:dyDescent="0.35">
      <c r="B35" s="926" t="s">
        <v>1388</v>
      </c>
      <c r="C35" s="927"/>
      <c r="D35" s="927"/>
      <c r="E35" s="927"/>
      <c r="F35" s="927"/>
      <c r="G35" s="927"/>
      <c r="H35" s="927"/>
      <c r="I35" s="927"/>
      <c r="J35" s="927"/>
      <c r="K35" s="927"/>
      <c r="L35" s="927"/>
      <c r="M35" s="927"/>
      <c r="N35" s="927"/>
      <c r="O35" s="927"/>
      <c r="P35" s="927"/>
      <c r="Q35" s="927"/>
      <c r="R35" s="927"/>
      <c r="S35" s="927"/>
      <c r="T35" s="927"/>
      <c r="U35" s="927"/>
      <c r="V35" s="927"/>
      <c r="W35" s="927"/>
    </row>
    <row r="36" spans="2:23" ht="13.2" x14ac:dyDescent="0.25">
      <c r="B36" s="916" t="s">
        <v>1124</v>
      </c>
      <c r="C36" s="927"/>
      <c r="D36" s="927"/>
      <c r="E36" s="927"/>
      <c r="F36" s="927"/>
      <c r="G36" s="927"/>
      <c r="H36" s="927"/>
      <c r="I36" s="927"/>
      <c r="J36" s="927"/>
      <c r="K36" s="927"/>
      <c r="L36" s="927"/>
      <c r="M36" s="927"/>
      <c r="N36" s="927"/>
      <c r="O36" s="927"/>
      <c r="P36" s="927"/>
      <c r="Q36" s="927"/>
      <c r="R36" s="927"/>
      <c r="S36" s="927"/>
      <c r="T36" s="927"/>
      <c r="U36" s="927"/>
      <c r="V36" s="927"/>
      <c r="W36" s="927"/>
    </row>
    <row r="37" spans="2:23" ht="13.8" x14ac:dyDescent="0.25">
      <c r="B37" s="916" t="s">
        <v>1389</v>
      </c>
      <c r="C37" s="927"/>
      <c r="D37" s="927"/>
      <c r="E37" s="927"/>
      <c r="F37" s="927"/>
      <c r="G37" s="927"/>
      <c r="H37" s="927"/>
      <c r="I37" s="927"/>
      <c r="J37" s="927"/>
      <c r="K37" s="927"/>
      <c r="L37" s="927"/>
      <c r="M37" s="927"/>
      <c r="N37" s="927"/>
      <c r="O37" s="927"/>
      <c r="P37" s="927"/>
      <c r="Q37" s="927"/>
      <c r="R37" s="927"/>
      <c r="S37" s="927"/>
      <c r="T37" s="927"/>
      <c r="U37" s="927"/>
      <c r="V37" s="927"/>
      <c r="W37" s="927"/>
    </row>
    <row r="38" spans="2:23" ht="13.2" x14ac:dyDescent="0.25">
      <c r="B38" s="916" t="s">
        <v>1126</v>
      </c>
      <c r="C38" s="927"/>
      <c r="D38" s="927"/>
      <c r="E38" s="927"/>
      <c r="F38" s="927"/>
      <c r="G38" s="927"/>
      <c r="H38" s="927"/>
      <c r="I38" s="927"/>
      <c r="J38" s="927"/>
      <c r="K38" s="927"/>
      <c r="L38" s="927"/>
      <c r="M38" s="927"/>
      <c r="N38" s="927"/>
      <c r="O38" s="927"/>
      <c r="P38" s="927"/>
      <c r="Q38" s="927"/>
      <c r="R38" s="927"/>
      <c r="S38" s="927"/>
      <c r="T38" s="927"/>
      <c r="U38" s="927"/>
      <c r="V38" s="927"/>
      <c r="W38" s="927"/>
    </row>
    <row r="39" spans="2:23" ht="15" x14ac:dyDescent="0.35">
      <c r="B39" s="916" t="s">
        <v>1390</v>
      </c>
      <c r="C39" s="927"/>
      <c r="D39" s="927"/>
      <c r="E39" s="927"/>
      <c r="F39" s="927"/>
      <c r="G39" s="927"/>
      <c r="H39" s="927"/>
      <c r="I39" s="927"/>
      <c r="J39" s="927"/>
      <c r="K39" s="927"/>
      <c r="L39" s="927"/>
      <c r="M39" s="927"/>
      <c r="N39" s="927"/>
      <c r="O39" s="927"/>
      <c r="P39" s="927"/>
      <c r="Q39" s="927"/>
      <c r="R39" s="927"/>
      <c r="S39" s="927"/>
      <c r="T39" s="927"/>
      <c r="U39" s="927"/>
      <c r="V39" s="927"/>
      <c r="W39" s="927"/>
    </row>
    <row r="40" spans="2:23" ht="13.2" x14ac:dyDescent="0.25">
      <c r="B40" s="916" t="s">
        <v>1077</v>
      </c>
      <c r="C40" s="927"/>
      <c r="D40" s="927"/>
      <c r="E40" s="927"/>
      <c r="F40" s="927"/>
      <c r="G40" s="927"/>
      <c r="H40" s="927"/>
      <c r="I40" s="927"/>
      <c r="J40" s="927"/>
      <c r="K40" s="927"/>
      <c r="L40" s="927"/>
      <c r="M40" s="927"/>
      <c r="N40" s="927"/>
      <c r="O40" s="927"/>
      <c r="P40" s="927"/>
      <c r="Q40" s="927"/>
      <c r="R40" s="927"/>
      <c r="S40" s="927"/>
      <c r="T40" s="927"/>
      <c r="U40" s="927"/>
      <c r="V40" s="927"/>
      <c r="W40" s="927"/>
    </row>
    <row r="41" spans="2:23" ht="13.2" x14ac:dyDescent="0.25">
      <c r="B41" s="916" t="s">
        <v>1075</v>
      </c>
      <c r="C41" s="927"/>
      <c r="D41" s="927"/>
      <c r="E41" s="927"/>
      <c r="F41" s="927"/>
      <c r="G41" s="927"/>
      <c r="H41" s="927"/>
      <c r="I41" s="927"/>
      <c r="J41" s="927"/>
      <c r="K41" s="927"/>
      <c r="L41" s="927"/>
      <c r="M41" s="927"/>
      <c r="N41" s="927"/>
      <c r="O41" s="927"/>
      <c r="P41" s="927"/>
      <c r="Q41" s="927"/>
      <c r="R41" s="927"/>
      <c r="S41" s="927"/>
      <c r="T41" s="927"/>
      <c r="U41" s="927"/>
      <c r="V41" s="927"/>
      <c r="W41" s="927"/>
    </row>
    <row r="42" spans="2:23" ht="13.2" x14ac:dyDescent="0.25">
      <c r="B42" s="916"/>
      <c r="C42" s="927"/>
      <c r="D42" s="927"/>
      <c r="E42" s="927"/>
      <c r="F42" s="927"/>
      <c r="G42" s="927"/>
      <c r="H42" s="927"/>
      <c r="I42" s="927"/>
      <c r="J42" s="927"/>
      <c r="K42" s="927"/>
      <c r="L42" s="927"/>
      <c r="M42" s="927"/>
      <c r="N42" s="927"/>
      <c r="O42" s="927"/>
      <c r="P42" s="927"/>
      <c r="Q42" s="927"/>
      <c r="R42" s="927"/>
      <c r="S42" s="927"/>
      <c r="T42" s="927"/>
      <c r="U42" s="927"/>
      <c r="V42" s="927"/>
      <c r="W42" s="927"/>
    </row>
    <row r="43" spans="2:23" ht="15" x14ac:dyDescent="0.35">
      <c r="B43" s="916" t="s">
        <v>1391</v>
      </c>
      <c r="C43" s="927"/>
      <c r="D43" s="927"/>
      <c r="E43" s="927"/>
      <c r="F43" s="927"/>
      <c r="G43" s="927"/>
      <c r="H43" s="927"/>
      <c r="I43" s="927"/>
      <c r="J43" s="927"/>
      <c r="K43" s="927"/>
      <c r="L43" s="927"/>
      <c r="M43" s="927"/>
      <c r="N43" s="927"/>
      <c r="O43" s="927"/>
      <c r="P43" s="927"/>
      <c r="Q43" s="927"/>
      <c r="R43" s="927"/>
      <c r="S43" s="927"/>
      <c r="T43" s="927"/>
      <c r="U43" s="927"/>
      <c r="V43" s="927"/>
      <c r="W43" s="927"/>
    </row>
    <row r="44" spans="2:23" ht="13.2" x14ac:dyDescent="0.25">
      <c r="B44" s="928" t="s">
        <v>1080</v>
      </c>
      <c r="C44" s="927"/>
      <c r="D44" s="927"/>
      <c r="E44" s="927"/>
      <c r="F44" s="927"/>
      <c r="G44" s="927"/>
      <c r="H44" s="927"/>
      <c r="I44" s="927"/>
      <c r="J44" s="927"/>
      <c r="K44" s="927"/>
      <c r="L44" s="927"/>
      <c r="M44" s="927"/>
      <c r="N44" s="927"/>
      <c r="O44" s="927"/>
      <c r="P44" s="927"/>
      <c r="Q44" s="927"/>
      <c r="R44" s="927"/>
      <c r="S44" s="927"/>
      <c r="T44" s="927"/>
      <c r="U44" s="927"/>
      <c r="V44" s="927"/>
      <c r="W44" s="927"/>
    </row>
    <row r="45" spans="2:23" ht="13.2" x14ac:dyDescent="0.25">
      <c r="B45" s="929"/>
      <c r="C45" s="927"/>
      <c r="D45" s="927"/>
      <c r="E45" s="927"/>
      <c r="F45" s="927"/>
      <c r="G45" s="927"/>
      <c r="H45" s="927"/>
      <c r="I45" s="927"/>
      <c r="J45" s="927"/>
      <c r="K45" s="927"/>
      <c r="L45" s="927"/>
      <c r="M45" s="927"/>
      <c r="N45" s="927"/>
      <c r="O45" s="927"/>
      <c r="P45" s="927"/>
      <c r="Q45" s="927"/>
      <c r="R45" s="927"/>
      <c r="S45" s="927"/>
      <c r="T45" s="927"/>
      <c r="U45" s="927"/>
      <c r="V45" s="927"/>
      <c r="W45" s="927"/>
    </row>
    <row r="46" spans="2:23" ht="13.2" x14ac:dyDescent="0.25">
      <c r="B46" s="929" t="s">
        <v>1081</v>
      </c>
      <c r="C46" s="927"/>
      <c r="D46" s="927"/>
      <c r="E46" s="927"/>
      <c r="F46" s="927"/>
      <c r="G46" s="927"/>
      <c r="H46" s="927"/>
      <c r="I46" s="927"/>
      <c r="J46" s="927"/>
      <c r="K46" s="927"/>
      <c r="L46" s="927"/>
      <c r="M46" s="927"/>
      <c r="N46" s="927"/>
      <c r="O46" s="927"/>
      <c r="P46" s="927"/>
      <c r="Q46" s="927"/>
      <c r="R46" s="927"/>
      <c r="S46" s="927"/>
      <c r="T46" s="927"/>
      <c r="U46" s="927"/>
      <c r="V46" s="927"/>
      <c r="W46" s="927"/>
    </row>
    <row r="47" spans="2:23" ht="13.2" x14ac:dyDescent="0.25">
      <c r="B47" s="929"/>
      <c r="C47" s="927"/>
      <c r="D47" s="927"/>
      <c r="E47" s="927"/>
      <c r="F47" s="927"/>
      <c r="G47" s="927"/>
      <c r="H47" s="927"/>
      <c r="I47" s="927"/>
      <c r="J47" s="927"/>
      <c r="K47" s="927"/>
      <c r="L47" s="927"/>
      <c r="M47" s="927"/>
      <c r="N47" s="927"/>
      <c r="O47" s="927"/>
      <c r="P47" s="927"/>
      <c r="Q47" s="927"/>
      <c r="R47" s="927"/>
      <c r="S47" s="927"/>
      <c r="T47" s="927"/>
      <c r="U47" s="927"/>
      <c r="V47" s="927"/>
      <c r="W47" s="927"/>
    </row>
    <row r="48" spans="2:23" ht="13.2" x14ac:dyDescent="0.25">
      <c r="B48" s="929" t="s">
        <v>1083</v>
      </c>
      <c r="C48" s="927"/>
      <c r="D48" s="927"/>
      <c r="E48" s="927"/>
      <c r="F48" s="927"/>
      <c r="G48" s="927"/>
      <c r="H48" s="927"/>
      <c r="I48" s="927"/>
      <c r="J48" s="927"/>
      <c r="K48" s="927"/>
      <c r="L48" s="927"/>
      <c r="M48" s="927"/>
      <c r="N48" s="927"/>
      <c r="O48" s="927"/>
      <c r="P48" s="927"/>
      <c r="Q48" s="927"/>
      <c r="R48" s="927"/>
      <c r="S48" s="927"/>
      <c r="T48" s="927"/>
      <c r="U48" s="927"/>
      <c r="V48" s="927"/>
      <c r="W48" s="927"/>
    </row>
    <row r="49" spans="2:23" ht="13.2" x14ac:dyDescent="0.25">
      <c r="B49" s="929"/>
      <c r="C49" s="927"/>
      <c r="D49" s="927"/>
      <c r="E49" s="927"/>
      <c r="F49" s="927"/>
      <c r="G49" s="927"/>
      <c r="H49" s="927"/>
      <c r="I49" s="927"/>
      <c r="J49" s="927"/>
      <c r="K49" s="927"/>
      <c r="L49" s="927"/>
      <c r="M49" s="927"/>
      <c r="N49" s="927"/>
      <c r="O49" s="927"/>
      <c r="P49" s="927"/>
      <c r="Q49" s="927"/>
      <c r="R49" s="927"/>
      <c r="S49" s="927"/>
      <c r="T49" s="927"/>
      <c r="U49" s="927"/>
      <c r="V49" s="927"/>
      <c r="W49" s="927"/>
    </row>
    <row r="50" spans="2:23" ht="15" x14ac:dyDescent="0.35">
      <c r="B50" s="929" t="s">
        <v>1392</v>
      </c>
      <c r="C50" s="927"/>
      <c r="D50" s="927"/>
      <c r="E50" s="927"/>
      <c r="F50" s="927"/>
      <c r="G50" s="927"/>
      <c r="H50" s="927"/>
      <c r="I50" s="927"/>
      <c r="J50" s="927"/>
      <c r="K50" s="927"/>
      <c r="L50" s="927"/>
      <c r="M50" s="927"/>
      <c r="N50" s="927"/>
      <c r="O50" s="927"/>
      <c r="P50" s="927"/>
      <c r="Q50" s="927"/>
      <c r="R50" s="927"/>
      <c r="S50" s="927"/>
      <c r="T50" s="927"/>
      <c r="U50" s="927"/>
      <c r="V50" s="927"/>
      <c r="W50" s="927"/>
    </row>
    <row r="51" spans="2:23" ht="13.2" x14ac:dyDescent="0.25">
      <c r="B51" s="929"/>
      <c r="C51" s="927"/>
      <c r="D51" s="927"/>
      <c r="E51" s="927"/>
      <c r="F51" s="927"/>
      <c r="G51" s="927"/>
      <c r="H51" s="927"/>
      <c r="I51" s="927"/>
      <c r="J51" s="927"/>
      <c r="K51" s="927"/>
      <c r="L51" s="927"/>
      <c r="M51" s="927"/>
      <c r="N51" s="927"/>
      <c r="O51" s="927"/>
      <c r="P51" s="927"/>
      <c r="Q51" s="927"/>
      <c r="R51" s="927"/>
      <c r="S51" s="927"/>
      <c r="T51" s="927"/>
      <c r="U51" s="927"/>
      <c r="V51" s="927"/>
      <c r="W51" s="927"/>
    </row>
    <row r="52" spans="2:23" ht="15" x14ac:dyDescent="0.35">
      <c r="B52" s="930" t="s">
        <v>1393</v>
      </c>
      <c r="C52" s="927"/>
      <c r="D52" s="927"/>
      <c r="E52" s="927"/>
      <c r="F52" s="927"/>
      <c r="G52" s="927"/>
      <c r="H52" s="927"/>
      <c r="I52" s="927"/>
      <c r="J52" s="927"/>
      <c r="K52" s="927"/>
      <c r="L52" s="927"/>
      <c r="M52" s="927"/>
      <c r="N52" s="927"/>
      <c r="O52" s="927"/>
      <c r="P52" s="927"/>
      <c r="Q52" s="927"/>
      <c r="R52" s="927"/>
      <c r="S52" s="927"/>
      <c r="T52" s="927"/>
      <c r="U52" s="927"/>
      <c r="V52" s="927"/>
      <c r="W52" s="927"/>
    </row>
    <row r="53" spans="2:23" ht="13.2" x14ac:dyDescent="0.25">
      <c r="B53" s="916"/>
      <c r="C53" s="927"/>
      <c r="D53" s="927"/>
      <c r="E53" s="927"/>
      <c r="F53" s="927"/>
      <c r="G53" s="927"/>
      <c r="H53" s="927"/>
      <c r="I53" s="927"/>
      <c r="J53" s="927"/>
      <c r="K53" s="927"/>
      <c r="L53" s="927"/>
      <c r="M53" s="927"/>
      <c r="N53" s="927"/>
      <c r="O53" s="927"/>
      <c r="P53" s="927"/>
      <c r="Q53" s="927"/>
      <c r="R53" s="927"/>
      <c r="S53" s="927"/>
      <c r="T53" s="927"/>
      <c r="U53" s="927"/>
      <c r="V53" s="927"/>
      <c r="W53" s="927"/>
    </row>
    <row r="54" spans="2:23" ht="13.2" x14ac:dyDescent="0.25">
      <c r="B54" s="916" t="s">
        <v>1085</v>
      </c>
      <c r="C54" s="927"/>
      <c r="D54" s="927"/>
      <c r="E54" s="927"/>
      <c r="F54" s="927"/>
      <c r="G54" s="927"/>
      <c r="H54" s="927"/>
      <c r="I54" s="927"/>
      <c r="J54" s="927"/>
      <c r="K54" s="927"/>
      <c r="L54" s="927"/>
      <c r="M54" s="927"/>
      <c r="N54" s="927"/>
      <c r="O54" s="927"/>
      <c r="P54" s="927"/>
      <c r="Q54" s="927"/>
      <c r="R54" s="927"/>
      <c r="S54" s="927"/>
      <c r="T54" s="927"/>
      <c r="U54" s="927"/>
      <c r="V54" s="927"/>
      <c r="W54" s="927"/>
    </row>
    <row r="55" spans="2:23" ht="13.8" x14ac:dyDescent="0.25">
      <c r="B55" s="916" t="s">
        <v>1394</v>
      </c>
      <c r="C55" s="927"/>
      <c r="D55" s="927"/>
      <c r="E55" s="927"/>
      <c r="F55" s="927"/>
      <c r="G55" s="927"/>
      <c r="H55" s="927"/>
      <c r="I55" s="927"/>
      <c r="J55" s="927"/>
      <c r="K55" s="927"/>
      <c r="L55" s="927"/>
      <c r="M55" s="927"/>
      <c r="N55" s="927"/>
      <c r="O55" s="927"/>
      <c r="P55" s="927"/>
      <c r="Q55" s="927"/>
      <c r="R55" s="927"/>
      <c r="S55" s="927"/>
      <c r="T55" s="927"/>
      <c r="U55" s="927"/>
      <c r="V55" s="927"/>
      <c r="W55" s="927"/>
    </row>
    <row r="56" spans="2:23" ht="13.8" x14ac:dyDescent="0.25">
      <c r="B56" s="931" t="s">
        <v>1395</v>
      </c>
      <c r="C56" s="927"/>
      <c r="D56" s="927"/>
      <c r="E56" s="927"/>
      <c r="F56" s="927"/>
      <c r="G56" s="927"/>
      <c r="H56" s="927"/>
      <c r="I56" s="927"/>
      <c r="J56" s="927"/>
      <c r="K56" s="927"/>
      <c r="L56" s="927"/>
      <c r="M56" s="927"/>
      <c r="N56" s="927"/>
      <c r="O56" s="927"/>
      <c r="P56" s="927"/>
      <c r="Q56" s="927"/>
      <c r="R56" s="927"/>
      <c r="S56" s="927"/>
      <c r="T56" s="927"/>
      <c r="U56" s="927"/>
      <c r="V56" s="927"/>
      <c r="W56" s="927"/>
    </row>
    <row r="57" spans="2:23" ht="13.8" x14ac:dyDescent="0.25">
      <c r="B57" s="931" t="s">
        <v>1396</v>
      </c>
      <c r="C57" s="927"/>
      <c r="D57" s="927"/>
      <c r="E57" s="927"/>
      <c r="F57" s="927"/>
      <c r="G57" s="927"/>
      <c r="H57" s="927"/>
      <c r="I57" s="927"/>
      <c r="J57" s="927"/>
      <c r="K57" s="927"/>
      <c r="L57" s="927"/>
      <c r="M57" s="927"/>
      <c r="N57" s="927"/>
      <c r="O57" s="927"/>
      <c r="P57" s="927"/>
      <c r="Q57" s="927"/>
      <c r="R57" s="927"/>
      <c r="S57" s="927"/>
      <c r="T57" s="927"/>
      <c r="U57" s="927"/>
      <c r="V57" s="927"/>
      <c r="W57" s="927"/>
    </row>
    <row r="58" spans="2:23" ht="13.8" x14ac:dyDescent="0.25">
      <c r="B58" s="931" t="s">
        <v>1397</v>
      </c>
      <c r="C58" s="927"/>
      <c r="D58" s="927"/>
      <c r="E58" s="927"/>
      <c r="F58" s="927"/>
      <c r="G58" s="927"/>
      <c r="H58" s="927"/>
      <c r="I58" s="927"/>
      <c r="J58" s="927"/>
      <c r="K58" s="927"/>
      <c r="L58" s="927"/>
      <c r="M58" s="927"/>
      <c r="N58" s="927"/>
      <c r="O58" s="927"/>
      <c r="P58" s="927"/>
      <c r="Q58" s="927"/>
      <c r="R58" s="927"/>
      <c r="S58" s="927"/>
      <c r="T58" s="927"/>
      <c r="U58" s="927"/>
      <c r="V58" s="927"/>
      <c r="W58" s="927"/>
    </row>
    <row r="59" spans="2:23" ht="13.8" x14ac:dyDescent="0.25">
      <c r="B59" s="931" t="s">
        <v>1398</v>
      </c>
      <c r="C59" s="927"/>
      <c r="D59" s="927"/>
      <c r="E59" s="927"/>
      <c r="F59" s="927"/>
      <c r="G59" s="927"/>
      <c r="H59" s="927"/>
      <c r="I59" s="927"/>
      <c r="J59" s="927"/>
      <c r="K59" s="927"/>
      <c r="L59" s="927"/>
      <c r="M59" s="927"/>
      <c r="N59" s="927"/>
      <c r="O59" s="927"/>
      <c r="P59" s="927"/>
      <c r="Q59" s="927"/>
      <c r="R59" s="927"/>
      <c r="S59" s="927"/>
      <c r="T59" s="927"/>
      <c r="U59" s="927"/>
      <c r="V59" s="927"/>
      <c r="W59" s="927"/>
    </row>
    <row r="60" spans="2:23" x14ac:dyDescent="0.3">
      <c r="B60" s="932"/>
      <c r="C60" s="927"/>
      <c r="D60" s="927"/>
      <c r="E60" s="927"/>
      <c r="F60" s="927"/>
      <c r="G60" s="927"/>
      <c r="H60" s="927"/>
      <c r="I60" s="927"/>
      <c r="J60" s="927"/>
      <c r="K60" s="927"/>
      <c r="L60" s="927"/>
      <c r="M60" s="927"/>
      <c r="N60" s="927"/>
      <c r="O60" s="927"/>
      <c r="P60" s="927"/>
      <c r="Q60" s="927"/>
      <c r="R60" s="927"/>
      <c r="S60" s="927"/>
      <c r="T60" s="927"/>
      <c r="U60" s="927"/>
      <c r="V60" s="927"/>
      <c r="W60" s="927"/>
    </row>
    <row r="61" spans="2:23" x14ac:dyDescent="0.3">
      <c r="B61" s="932"/>
      <c r="C61" s="927"/>
      <c r="D61" s="927"/>
      <c r="E61" s="927"/>
      <c r="F61" s="927"/>
      <c r="G61" s="927"/>
      <c r="H61" s="927"/>
      <c r="I61" s="927"/>
      <c r="J61" s="927"/>
      <c r="K61" s="927"/>
      <c r="L61" s="927"/>
      <c r="M61" s="927"/>
      <c r="N61" s="927"/>
      <c r="O61" s="927"/>
      <c r="P61" s="927"/>
      <c r="Q61" s="927"/>
      <c r="R61" s="927"/>
      <c r="S61" s="927"/>
      <c r="T61" s="927"/>
      <c r="U61" s="927"/>
      <c r="V61" s="927"/>
      <c r="W61" s="927"/>
    </row>
    <row r="62" spans="2:23" x14ac:dyDescent="0.3">
      <c r="B62" s="932"/>
      <c r="C62" s="927"/>
      <c r="D62" s="927"/>
      <c r="E62" s="927"/>
      <c r="F62" s="927"/>
      <c r="G62" s="927"/>
      <c r="H62" s="927"/>
      <c r="I62" s="927"/>
      <c r="J62" s="927"/>
      <c r="K62" s="927"/>
      <c r="L62" s="927"/>
      <c r="M62" s="927"/>
      <c r="N62" s="927"/>
      <c r="O62" s="927"/>
      <c r="P62" s="927"/>
      <c r="Q62" s="927"/>
      <c r="R62" s="927"/>
      <c r="S62" s="927"/>
      <c r="T62" s="927"/>
      <c r="U62" s="927"/>
      <c r="V62" s="927"/>
      <c r="W62" s="927"/>
    </row>
    <row r="63" spans="2:23" x14ac:dyDescent="0.3">
      <c r="B63" s="932"/>
      <c r="C63" s="927"/>
      <c r="D63" s="927"/>
      <c r="E63" s="927"/>
      <c r="F63" s="927"/>
      <c r="G63" s="927"/>
      <c r="H63" s="927"/>
      <c r="I63" s="927"/>
      <c r="J63" s="927"/>
      <c r="K63" s="927"/>
      <c r="L63" s="927"/>
      <c r="M63" s="927"/>
      <c r="N63" s="927"/>
      <c r="O63" s="927"/>
      <c r="P63" s="927"/>
      <c r="Q63" s="927"/>
      <c r="R63" s="927"/>
      <c r="S63" s="927"/>
      <c r="T63" s="927"/>
      <c r="U63" s="927"/>
      <c r="V63" s="927"/>
      <c r="W63" s="927"/>
    </row>
    <row r="64" spans="2:23" x14ac:dyDescent="0.3">
      <c r="B64" s="933"/>
      <c r="C64" s="927"/>
      <c r="D64" s="927"/>
      <c r="E64" s="927"/>
      <c r="F64" s="927"/>
      <c r="G64" s="927"/>
      <c r="H64" s="927"/>
      <c r="I64" s="927"/>
      <c r="J64" s="927"/>
      <c r="K64" s="927"/>
      <c r="L64" s="927"/>
      <c r="M64" s="927"/>
      <c r="N64" s="927"/>
      <c r="O64" s="927"/>
      <c r="P64" s="927"/>
      <c r="Q64" s="927"/>
      <c r="R64" s="927"/>
      <c r="S64" s="927"/>
      <c r="T64" s="927"/>
      <c r="U64" s="927"/>
      <c r="V64" s="927"/>
      <c r="W64" s="927"/>
    </row>
    <row r="65" spans="2:23" x14ac:dyDescent="0.3">
      <c r="B65" s="933"/>
      <c r="C65" s="927"/>
      <c r="D65" s="927"/>
      <c r="E65" s="927"/>
      <c r="F65" s="927"/>
      <c r="G65" s="927"/>
      <c r="H65" s="927"/>
      <c r="I65" s="927"/>
      <c r="J65" s="927"/>
      <c r="K65" s="927"/>
      <c r="L65" s="927"/>
      <c r="M65" s="927"/>
      <c r="N65" s="927"/>
      <c r="O65" s="927"/>
      <c r="P65" s="927"/>
      <c r="Q65" s="927"/>
      <c r="R65" s="927"/>
      <c r="S65" s="927"/>
      <c r="T65" s="927"/>
      <c r="U65" s="927"/>
      <c r="V65" s="927"/>
      <c r="W65" s="927"/>
    </row>
    <row r="66" spans="2:23" x14ac:dyDescent="0.3">
      <c r="B66" s="933"/>
      <c r="C66" s="927"/>
      <c r="D66" s="927"/>
      <c r="E66" s="927"/>
      <c r="F66" s="927"/>
      <c r="G66" s="927"/>
      <c r="H66" s="927"/>
      <c r="I66" s="927"/>
      <c r="J66" s="927"/>
      <c r="K66" s="927"/>
      <c r="L66" s="927"/>
      <c r="M66" s="927"/>
      <c r="N66" s="927"/>
      <c r="O66" s="927"/>
      <c r="P66" s="927"/>
      <c r="Q66" s="927"/>
      <c r="R66" s="927"/>
      <c r="S66" s="927"/>
      <c r="T66" s="927"/>
      <c r="U66" s="927"/>
      <c r="V66" s="927"/>
      <c r="W66" s="927"/>
    </row>
    <row r="67" spans="2:23" x14ac:dyDescent="0.3">
      <c r="B67" s="933"/>
      <c r="C67" s="927"/>
      <c r="D67" s="927"/>
      <c r="E67" s="927"/>
      <c r="F67" s="927"/>
      <c r="G67" s="927"/>
      <c r="H67" s="927"/>
      <c r="I67" s="927"/>
      <c r="J67" s="927"/>
      <c r="K67" s="927"/>
      <c r="L67" s="927"/>
      <c r="M67" s="927"/>
      <c r="N67" s="927"/>
      <c r="O67" s="927"/>
      <c r="P67" s="927"/>
      <c r="Q67" s="927"/>
      <c r="R67" s="927"/>
      <c r="S67" s="927"/>
      <c r="T67" s="927"/>
      <c r="U67" s="927"/>
      <c r="V67" s="927"/>
      <c r="W67" s="927"/>
    </row>
    <row r="68" spans="2:23" x14ac:dyDescent="0.3">
      <c r="B68" s="933"/>
      <c r="C68" s="927"/>
      <c r="D68" s="927"/>
      <c r="E68" s="927"/>
      <c r="F68" s="927"/>
      <c r="G68" s="927"/>
      <c r="H68" s="927"/>
      <c r="I68" s="927"/>
      <c r="J68" s="927"/>
      <c r="K68" s="927"/>
      <c r="L68" s="927"/>
      <c r="M68" s="927"/>
      <c r="N68" s="927"/>
      <c r="O68" s="927"/>
      <c r="P68" s="927"/>
      <c r="Q68" s="927"/>
      <c r="R68" s="927"/>
      <c r="S68" s="927"/>
      <c r="T68" s="927"/>
      <c r="U68" s="927"/>
      <c r="V68" s="927"/>
      <c r="W68" s="927"/>
    </row>
    <row r="69" spans="2:23" x14ac:dyDescent="0.3">
      <c r="B69" s="933"/>
      <c r="C69" s="927"/>
      <c r="D69" s="927"/>
      <c r="E69" s="927"/>
      <c r="F69" s="927"/>
      <c r="G69" s="927"/>
      <c r="H69" s="927"/>
      <c r="I69" s="927"/>
      <c r="J69" s="927"/>
      <c r="K69" s="927"/>
      <c r="L69" s="927"/>
      <c r="M69" s="927"/>
      <c r="N69" s="927"/>
      <c r="O69" s="927"/>
      <c r="P69" s="927"/>
      <c r="Q69" s="927"/>
      <c r="R69" s="927"/>
      <c r="S69" s="927"/>
      <c r="T69" s="927"/>
      <c r="U69" s="927"/>
      <c r="V69" s="927"/>
      <c r="W69" s="927"/>
    </row>
    <row r="70" spans="2:23" x14ac:dyDescent="0.3">
      <c r="B70" s="933"/>
      <c r="C70" s="927"/>
      <c r="D70" s="927"/>
      <c r="E70" s="927"/>
      <c r="F70" s="927"/>
      <c r="G70" s="927"/>
      <c r="H70" s="927"/>
      <c r="I70" s="927"/>
      <c r="J70" s="927"/>
      <c r="K70" s="927"/>
      <c r="L70" s="927"/>
      <c r="M70" s="927"/>
      <c r="N70" s="927"/>
      <c r="O70" s="927"/>
      <c r="P70" s="927"/>
      <c r="Q70" s="927"/>
      <c r="R70" s="927"/>
      <c r="S70" s="927"/>
      <c r="T70" s="927"/>
      <c r="U70" s="927"/>
      <c r="V70" s="927"/>
      <c r="W70" s="927"/>
    </row>
    <row r="71" spans="2:23" x14ac:dyDescent="0.3">
      <c r="B71" s="933"/>
      <c r="C71" s="927"/>
      <c r="D71" s="927"/>
      <c r="E71" s="927"/>
      <c r="F71" s="927"/>
      <c r="G71" s="927"/>
      <c r="H71" s="927"/>
      <c r="I71" s="927"/>
      <c r="J71" s="927"/>
      <c r="K71" s="927"/>
      <c r="L71" s="927"/>
      <c r="M71" s="927"/>
      <c r="N71" s="927"/>
      <c r="O71" s="927"/>
      <c r="P71" s="927"/>
      <c r="Q71" s="927"/>
      <c r="R71" s="927"/>
      <c r="S71" s="927"/>
      <c r="T71" s="927"/>
      <c r="U71" s="927"/>
      <c r="V71" s="927"/>
      <c r="W71" s="927"/>
    </row>
    <row r="72" spans="2:23" x14ac:dyDescent="0.3">
      <c r="B72" s="933"/>
      <c r="C72" s="927"/>
      <c r="D72" s="927"/>
      <c r="E72" s="927"/>
      <c r="F72" s="927"/>
      <c r="G72" s="927"/>
      <c r="H72" s="927"/>
      <c r="I72" s="927"/>
      <c r="J72" s="927"/>
      <c r="K72" s="927"/>
      <c r="L72" s="927"/>
      <c r="M72" s="927"/>
      <c r="N72" s="927"/>
      <c r="O72" s="927"/>
      <c r="P72" s="927"/>
      <c r="Q72" s="927"/>
      <c r="R72" s="927"/>
      <c r="S72" s="927"/>
      <c r="T72" s="927"/>
      <c r="U72" s="927"/>
      <c r="V72" s="927"/>
      <c r="W72" s="927"/>
    </row>
    <row r="73" spans="2:23" x14ac:dyDescent="0.3">
      <c r="B73" s="933"/>
      <c r="C73" s="927"/>
      <c r="D73" s="927"/>
      <c r="E73" s="927"/>
      <c r="F73" s="927"/>
      <c r="G73" s="927"/>
      <c r="H73" s="927"/>
      <c r="I73" s="927"/>
      <c r="J73" s="927"/>
      <c r="K73" s="927"/>
      <c r="L73" s="927"/>
      <c r="M73" s="927"/>
      <c r="N73" s="927"/>
      <c r="O73" s="927"/>
      <c r="P73" s="927"/>
      <c r="Q73" s="927"/>
      <c r="R73" s="927"/>
      <c r="S73" s="927"/>
      <c r="T73" s="927"/>
      <c r="U73" s="927"/>
      <c r="V73" s="927"/>
      <c r="W73" s="927"/>
    </row>
    <row r="74" spans="2:23" x14ac:dyDescent="0.3">
      <c r="B74" s="933"/>
      <c r="C74" s="927"/>
      <c r="D74" s="927"/>
      <c r="E74" s="927"/>
      <c r="F74" s="927"/>
      <c r="G74" s="927"/>
      <c r="H74" s="927"/>
      <c r="I74" s="927"/>
      <c r="J74" s="927"/>
      <c r="K74" s="927"/>
      <c r="L74" s="927"/>
      <c r="M74" s="927"/>
      <c r="N74" s="927"/>
      <c r="O74" s="927"/>
      <c r="P74" s="927"/>
      <c r="Q74" s="927"/>
      <c r="R74" s="927"/>
      <c r="S74" s="927"/>
      <c r="T74" s="927"/>
      <c r="U74" s="927"/>
      <c r="V74" s="927"/>
      <c r="W74" s="927"/>
    </row>
    <row r="75" spans="2:23" x14ac:dyDescent="0.3">
      <c r="B75" s="933"/>
      <c r="C75" s="927"/>
      <c r="D75" s="927"/>
      <c r="E75" s="927"/>
      <c r="F75" s="927"/>
      <c r="G75" s="927"/>
      <c r="H75" s="927"/>
      <c r="I75" s="927"/>
      <c r="J75" s="927"/>
      <c r="K75" s="927"/>
      <c r="L75" s="927"/>
      <c r="M75" s="927"/>
      <c r="N75" s="927"/>
      <c r="O75" s="927"/>
      <c r="P75" s="927"/>
      <c r="Q75" s="927"/>
      <c r="R75" s="927"/>
      <c r="S75" s="927"/>
      <c r="T75" s="927"/>
      <c r="U75" s="927"/>
      <c r="V75" s="927"/>
      <c r="W75" s="927"/>
    </row>
    <row r="76" spans="2:23" x14ac:dyDescent="0.3">
      <c r="B76" s="933"/>
      <c r="C76" s="927"/>
      <c r="D76" s="927"/>
      <c r="E76" s="927"/>
      <c r="F76" s="927"/>
      <c r="G76" s="927"/>
      <c r="H76" s="927"/>
      <c r="I76" s="927"/>
      <c r="J76" s="927"/>
      <c r="K76" s="927"/>
      <c r="L76" s="927"/>
      <c r="M76" s="927"/>
      <c r="N76" s="927"/>
      <c r="O76" s="927"/>
      <c r="P76" s="927"/>
      <c r="Q76" s="927"/>
      <c r="R76" s="927"/>
      <c r="S76" s="927"/>
      <c r="T76" s="927"/>
      <c r="U76" s="927"/>
      <c r="V76" s="927"/>
      <c r="W76" s="927"/>
    </row>
    <row r="77" spans="2:23" x14ac:dyDescent="0.3">
      <c r="B77" s="933"/>
      <c r="C77" s="927"/>
      <c r="D77" s="927"/>
      <c r="E77" s="927"/>
      <c r="F77" s="927"/>
      <c r="G77" s="927"/>
      <c r="H77" s="927"/>
      <c r="I77" s="927"/>
      <c r="J77" s="927"/>
      <c r="K77" s="927"/>
      <c r="L77" s="927"/>
      <c r="M77" s="927"/>
      <c r="N77" s="927"/>
      <c r="O77" s="927"/>
      <c r="P77" s="927"/>
      <c r="Q77" s="927"/>
      <c r="R77" s="927"/>
      <c r="S77" s="927"/>
      <c r="T77" s="927"/>
      <c r="U77" s="927"/>
      <c r="V77" s="927"/>
      <c r="W77" s="927"/>
    </row>
    <row r="78" spans="2:23" x14ac:dyDescent="0.3">
      <c r="B78" s="933"/>
      <c r="C78" s="927"/>
      <c r="D78" s="927"/>
      <c r="E78" s="927"/>
      <c r="F78" s="927"/>
      <c r="G78" s="927"/>
      <c r="H78" s="927"/>
      <c r="I78" s="927"/>
      <c r="J78" s="927"/>
      <c r="K78" s="927"/>
      <c r="L78" s="927"/>
      <c r="M78" s="927"/>
      <c r="N78" s="927"/>
      <c r="O78" s="927"/>
      <c r="P78" s="927"/>
      <c r="Q78" s="927"/>
      <c r="R78" s="927"/>
      <c r="S78" s="927"/>
      <c r="T78" s="927"/>
      <c r="U78" s="927"/>
      <c r="V78" s="927"/>
      <c r="W78" s="927"/>
    </row>
    <row r="79" spans="2:23" x14ac:dyDescent="0.3">
      <c r="B79" s="933"/>
      <c r="C79" s="927"/>
      <c r="D79" s="927"/>
      <c r="E79" s="927"/>
      <c r="F79" s="927"/>
      <c r="G79" s="927"/>
      <c r="H79" s="927"/>
      <c r="I79" s="927"/>
      <c r="J79" s="927"/>
      <c r="K79" s="927"/>
      <c r="L79" s="927"/>
      <c r="M79" s="927"/>
      <c r="N79" s="927"/>
      <c r="O79" s="927"/>
      <c r="P79" s="927"/>
      <c r="Q79" s="927"/>
      <c r="R79" s="927"/>
      <c r="S79" s="927"/>
      <c r="T79" s="927"/>
      <c r="U79" s="927"/>
      <c r="V79" s="927"/>
      <c r="W79" s="927"/>
    </row>
    <row r="80" spans="2:23" x14ac:dyDescent="0.3">
      <c r="B80" s="933"/>
      <c r="C80" s="927"/>
      <c r="D80" s="927"/>
      <c r="E80" s="927"/>
      <c r="F80" s="927"/>
      <c r="G80" s="927"/>
      <c r="H80" s="927"/>
      <c r="I80" s="927"/>
      <c r="J80" s="927"/>
      <c r="K80" s="927"/>
      <c r="L80" s="927"/>
      <c r="M80" s="927"/>
      <c r="N80" s="927"/>
      <c r="O80" s="927"/>
      <c r="P80" s="927"/>
      <c r="Q80" s="927"/>
      <c r="R80" s="927"/>
      <c r="S80" s="927"/>
      <c r="T80" s="927"/>
      <c r="U80" s="927"/>
      <c r="V80" s="927"/>
      <c r="W80" s="927"/>
    </row>
    <row r="81" spans="2:23" x14ac:dyDescent="0.3">
      <c r="B81" s="933"/>
      <c r="C81" s="927"/>
      <c r="D81" s="927"/>
      <c r="E81" s="927"/>
      <c r="F81" s="927"/>
      <c r="G81" s="927"/>
      <c r="H81" s="927"/>
      <c r="I81" s="927"/>
      <c r="J81" s="927"/>
      <c r="K81" s="927"/>
      <c r="L81" s="927"/>
      <c r="M81" s="927"/>
      <c r="N81" s="927"/>
      <c r="O81" s="927"/>
      <c r="P81" s="927"/>
      <c r="Q81" s="927"/>
      <c r="R81" s="927"/>
      <c r="S81" s="927"/>
      <c r="T81" s="927"/>
      <c r="U81" s="927"/>
      <c r="V81" s="927"/>
      <c r="W81" s="927"/>
    </row>
    <row r="82" spans="2:23" x14ac:dyDescent="0.3">
      <c r="B82" s="933"/>
      <c r="C82" s="927"/>
      <c r="D82" s="927"/>
      <c r="E82" s="927"/>
      <c r="F82" s="927"/>
      <c r="G82" s="927"/>
      <c r="H82" s="927"/>
      <c r="I82" s="927"/>
      <c r="J82" s="927"/>
      <c r="K82" s="927"/>
      <c r="L82" s="927"/>
      <c r="M82" s="927"/>
      <c r="N82" s="927"/>
      <c r="O82" s="927"/>
      <c r="P82" s="927"/>
      <c r="Q82" s="927"/>
      <c r="R82" s="927"/>
      <c r="S82" s="927"/>
      <c r="T82" s="927"/>
      <c r="U82" s="927"/>
      <c r="V82" s="927"/>
      <c r="W82" s="927"/>
    </row>
    <row r="83" spans="2:23" x14ac:dyDescent="0.3">
      <c r="B83" s="933"/>
      <c r="C83" s="927"/>
      <c r="D83" s="927"/>
      <c r="E83" s="927"/>
      <c r="F83" s="927"/>
      <c r="G83" s="927"/>
      <c r="H83" s="927"/>
      <c r="I83" s="927"/>
      <c r="J83" s="927"/>
      <c r="K83" s="927"/>
      <c r="L83" s="927"/>
      <c r="M83" s="927"/>
      <c r="N83" s="927"/>
      <c r="O83" s="927"/>
      <c r="P83" s="927"/>
      <c r="Q83" s="927"/>
      <c r="R83" s="927"/>
      <c r="S83" s="927"/>
      <c r="T83" s="927"/>
      <c r="U83" s="927"/>
      <c r="V83" s="927"/>
      <c r="W83" s="927"/>
    </row>
    <row r="84" spans="2:23" x14ac:dyDescent="0.3">
      <c r="B84" s="933"/>
      <c r="C84" s="927"/>
      <c r="D84" s="927"/>
      <c r="E84" s="927"/>
      <c r="F84" s="927"/>
      <c r="G84" s="927"/>
      <c r="H84" s="927"/>
      <c r="I84" s="927"/>
      <c r="J84" s="927"/>
      <c r="K84" s="927"/>
      <c r="L84" s="927"/>
      <c r="M84" s="927"/>
      <c r="N84" s="927"/>
      <c r="O84" s="927"/>
      <c r="P84" s="927"/>
      <c r="Q84" s="927"/>
      <c r="R84" s="927"/>
      <c r="S84" s="927"/>
      <c r="T84" s="927"/>
      <c r="U84" s="927"/>
      <c r="V84" s="927"/>
      <c r="W84" s="927"/>
    </row>
    <row r="85" spans="2:23" x14ac:dyDescent="0.3">
      <c r="B85" s="933"/>
      <c r="C85" s="927"/>
      <c r="D85" s="927"/>
      <c r="E85" s="927"/>
      <c r="F85" s="927"/>
      <c r="G85" s="927"/>
      <c r="H85" s="927"/>
      <c r="I85" s="927"/>
      <c r="J85" s="927"/>
      <c r="K85" s="927"/>
      <c r="L85" s="927"/>
      <c r="M85" s="927"/>
      <c r="N85" s="927"/>
      <c r="O85" s="927"/>
      <c r="P85" s="927"/>
      <c r="Q85" s="927"/>
      <c r="R85" s="927"/>
      <c r="S85" s="927"/>
      <c r="T85" s="927"/>
      <c r="U85" s="927"/>
      <c r="V85" s="927"/>
      <c r="W85" s="927"/>
    </row>
  </sheetData>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8"/>
  <sheetViews>
    <sheetView topLeftCell="A13" workbookViewId="0">
      <selection activeCell="D9" sqref="D9"/>
    </sheetView>
  </sheetViews>
  <sheetFormatPr defaultRowHeight="13.2" x14ac:dyDescent="0.25"/>
  <cols>
    <col min="1" max="1" width="109" style="301" customWidth="1"/>
  </cols>
  <sheetData>
    <row r="1" spans="1:1" ht="17.399999999999999" x14ac:dyDescent="0.3">
      <c r="A1" s="415" t="s">
        <v>2</v>
      </c>
    </row>
    <row r="2" spans="1:1" ht="15.6" x14ac:dyDescent="0.3">
      <c r="A2" s="414" t="s">
        <v>4</v>
      </c>
    </row>
    <row r="3" spans="1:1" ht="15.6" x14ac:dyDescent="0.3">
      <c r="A3" s="1028">
        <v>41821</v>
      </c>
    </row>
    <row r="4" spans="1:1" ht="15.6" x14ac:dyDescent="0.3">
      <c r="A4" s="413"/>
    </row>
    <row r="5" spans="1:1" ht="17.399999999999999" x14ac:dyDescent="0.3">
      <c r="A5" s="416" t="s">
        <v>8</v>
      </c>
    </row>
    <row r="6" spans="1:1" ht="15.6" x14ac:dyDescent="0.3">
      <c r="A6" s="413"/>
    </row>
    <row r="7" spans="1:1" ht="15.6" x14ac:dyDescent="0.3">
      <c r="A7" s="413" t="s">
        <v>9</v>
      </c>
    </row>
    <row r="8" spans="1:1" ht="15.6" x14ac:dyDescent="0.3">
      <c r="A8" s="413"/>
    </row>
    <row r="9" spans="1:1" ht="151.5" customHeight="1" x14ac:dyDescent="0.3">
      <c r="A9" s="416" t="s">
        <v>1546</v>
      </c>
    </row>
    <row r="10" spans="1:1" ht="15.6" x14ac:dyDescent="0.3">
      <c r="A10" s="413"/>
    </row>
    <row r="11" spans="1:1" ht="46.8" x14ac:dyDescent="0.3">
      <c r="A11" s="413" t="s">
        <v>1547</v>
      </c>
    </row>
    <row r="12" spans="1:1" ht="15.6" x14ac:dyDescent="0.3">
      <c r="A12" s="413"/>
    </row>
    <row r="13" spans="1:1" ht="134.25" customHeight="1" x14ac:dyDescent="0.3">
      <c r="A13" s="419" t="s">
        <v>590</v>
      </c>
    </row>
    <row r="14" spans="1:1" ht="15.6" x14ac:dyDescent="0.3">
      <c r="A14" s="413"/>
    </row>
    <row r="15" spans="1:1" ht="78" x14ac:dyDescent="0.3">
      <c r="A15" s="416" t="s">
        <v>1548</v>
      </c>
    </row>
    <row r="16" spans="1:1" ht="15.6" x14ac:dyDescent="0.3">
      <c r="A16" s="413"/>
    </row>
    <row r="17" spans="1:1" ht="165" customHeight="1" x14ac:dyDescent="0.3">
      <c r="A17" s="416" t="s">
        <v>0</v>
      </c>
    </row>
    <row r="18" spans="1:1" ht="15.6" x14ac:dyDescent="0.3">
      <c r="A18" s="413"/>
    </row>
    <row r="19" spans="1:1" ht="78" x14ac:dyDescent="0.3">
      <c r="A19" s="416" t="s">
        <v>10</v>
      </c>
    </row>
    <row r="20" spans="1:1" ht="15.6" x14ac:dyDescent="0.3">
      <c r="A20" s="413"/>
    </row>
    <row r="21" spans="1:1" ht="62.4" x14ac:dyDescent="0.3">
      <c r="A21" s="416" t="s">
        <v>1549</v>
      </c>
    </row>
    <row r="22" spans="1:1" ht="15.6" x14ac:dyDescent="0.3">
      <c r="A22" s="417"/>
    </row>
    <row r="23" spans="1:1" ht="46.8" x14ac:dyDescent="0.3">
      <c r="A23" s="416" t="s">
        <v>11</v>
      </c>
    </row>
    <row r="24" spans="1:1" ht="15.6" x14ac:dyDescent="0.3">
      <c r="A24" s="413"/>
    </row>
    <row r="25" spans="1:1" ht="78" x14ac:dyDescent="0.3">
      <c r="A25" s="416" t="s">
        <v>12</v>
      </c>
    </row>
    <row r="26" spans="1:1" ht="15.6" x14ac:dyDescent="0.3">
      <c r="A26" s="413"/>
    </row>
    <row r="27" spans="1:1" ht="93.6" x14ac:dyDescent="0.3">
      <c r="A27" s="416" t="s">
        <v>1</v>
      </c>
    </row>
    <row r="28" spans="1:1" ht="15.6" x14ac:dyDescent="0.3">
      <c r="A28" s="413"/>
    </row>
    <row r="29" spans="1:1" ht="60.75" customHeight="1" x14ac:dyDescent="0.3">
      <c r="A29" s="416" t="s">
        <v>13</v>
      </c>
    </row>
    <row r="30" spans="1:1" ht="15.6" x14ac:dyDescent="0.3">
      <c r="A30" s="413"/>
    </row>
    <row r="31" spans="1:1" ht="78" x14ac:dyDescent="0.3">
      <c r="A31" s="416" t="s">
        <v>1550</v>
      </c>
    </row>
    <row r="32" spans="1:1" ht="15.6" x14ac:dyDescent="0.3">
      <c r="A32" s="416" t="s">
        <v>1552</v>
      </c>
    </row>
    <row r="33" spans="1:1" ht="46.8" x14ac:dyDescent="0.3">
      <c r="A33" s="416" t="s">
        <v>1551</v>
      </c>
    </row>
    <row r="34" spans="1:1" ht="15.6" x14ac:dyDescent="0.3">
      <c r="A34" s="413"/>
    </row>
    <row r="35" spans="1:1" ht="78" x14ac:dyDescent="0.3">
      <c r="A35" s="416" t="s">
        <v>144</v>
      </c>
    </row>
    <row r="36" spans="1:1" ht="15.6" x14ac:dyDescent="0.3">
      <c r="A36" s="416"/>
    </row>
    <row r="37" spans="1:1" ht="15.6" x14ac:dyDescent="0.3">
      <c r="A37" s="416"/>
    </row>
    <row r="38" spans="1:1" ht="15.6" x14ac:dyDescent="0.3">
      <c r="A38" s="416" t="s">
        <v>589</v>
      </c>
    </row>
    <row r="39" spans="1:1" ht="15.6" x14ac:dyDescent="0.3">
      <c r="A39" s="413"/>
    </row>
    <row r="40" spans="1:1" ht="145.80000000000001" x14ac:dyDescent="0.3">
      <c r="A40" s="413" t="s">
        <v>588</v>
      </c>
    </row>
    <row r="41" spans="1:1" ht="15.6" x14ac:dyDescent="0.3">
      <c r="A41" s="417"/>
    </row>
    <row r="42" spans="1:1" ht="109.2" x14ac:dyDescent="0.3">
      <c r="A42" s="420" t="s">
        <v>142</v>
      </c>
    </row>
    <row r="43" spans="1:1" ht="15.6" x14ac:dyDescent="0.3">
      <c r="A43" s="420"/>
    </row>
    <row r="44" spans="1:1" ht="93.6" x14ac:dyDescent="0.3">
      <c r="A44" s="420" t="s">
        <v>143</v>
      </c>
    </row>
    <row r="45" spans="1:1" ht="15.6" x14ac:dyDescent="0.3">
      <c r="A45" s="420"/>
    </row>
    <row r="46" spans="1:1" ht="31.2" x14ac:dyDescent="0.3">
      <c r="A46" s="413" t="s">
        <v>587</v>
      </c>
    </row>
    <row r="47" spans="1:1" ht="53.25" customHeight="1" x14ac:dyDescent="0.3">
      <c r="A47" s="418" t="s">
        <v>3</v>
      </c>
    </row>
    <row r="48" spans="1:1" ht="33" x14ac:dyDescent="0.3">
      <c r="A48" s="418" t="s">
        <v>5</v>
      </c>
    </row>
    <row r="49" spans="1:1" ht="48.6" x14ac:dyDescent="0.3">
      <c r="A49" s="418" t="s">
        <v>6</v>
      </c>
    </row>
    <row r="50" spans="1:1" ht="33" x14ac:dyDescent="0.3">
      <c r="A50" s="418" t="s">
        <v>7</v>
      </c>
    </row>
    <row r="51" spans="1:1" ht="15.6" x14ac:dyDescent="0.3">
      <c r="A51" s="413"/>
    </row>
    <row r="52" spans="1:1" ht="144" x14ac:dyDescent="0.3">
      <c r="A52" s="413" t="s">
        <v>422</v>
      </c>
    </row>
    <row r="55" spans="1:1" ht="52.8" x14ac:dyDescent="0.25">
      <c r="A55" s="301" t="s">
        <v>423</v>
      </c>
    </row>
    <row r="56" spans="1:1" x14ac:dyDescent="0.25">
      <c r="A56" s="395"/>
    </row>
    <row r="57" spans="1:1" ht="26.4" x14ac:dyDescent="0.25">
      <c r="A57" s="301" t="s">
        <v>14</v>
      </c>
    </row>
    <row r="58" spans="1:1" x14ac:dyDescent="0.25">
      <c r="A58" s="395"/>
    </row>
  </sheetData>
  <phoneticPr fontId="0" type="noConversion"/>
  <pageMargins left="0.75" right="0.47" top="1" bottom="1" header="0.5" footer="0.5"/>
  <pageSetup orientation="landscape" r:id="rId1"/>
  <headerFooter alignWithMargins="0">
    <oddFooter>&amp;L7/02/07&amp;C&amp;A&amp;RNJAES Report 2007-1 ©2007 
  New Jersey Agricultural Experiment Station</oddFooter>
  </headerFooter>
  <rowBreaks count="2" manualBreakCount="2">
    <brk id="37" max="16383" man="1"/>
    <brk id="4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8"/>
  <sheetViews>
    <sheetView workbookViewId="0">
      <selection activeCell="K33" sqref="K33"/>
    </sheetView>
  </sheetViews>
  <sheetFormatPr defaultRowHeight="13.2" x14ac:dyDescent="0.25"/>
  <cols>
    <col min="2" max="2" width="15.6640625" customWidth="1"/>
    <col min="3" max="3" width="16.6640625" customWidth="1"/>
    <col min="4" max="4" width="29" customWidth="1"/>
  </cols>
  <sheetData>
    <row r="1" spans="2:12" x14ac:dyDescent="0.25">
      <c r="B1" s="20" t="s">
        <v>1125</v>
      </c>
      <c r="C1" s="384"/>
      <c r="D1" s="384"/>
      <c r="E1" s="384"/>
      <c r="F1" s="384"/>
      <c r="G1" s="384"/>
    </row>
    <row r="2" spans="2:12" x14ac:dyDescent="0.25">
      <c r="B2" s="80" t="s">
        <v>1222</v>
      </c>
      <c r="C2" s="384"/>
      <c r="D2" s="384"/>
      <c r="E2" s="384"/>
      <c r="F2" s="384"/>
      <c r="G2" s="384"/>
    </row>
    <row r="3" spans="2:12" x14ac:dyDescent="0.25">
      <c r="B3" s="384"/>
      <c r="C3" s="384"/>
      <c r="D3" s="384"/>
      <c r="E3" s="384"/>
      <c r="F3" s="384"/>
      <c r="G3" s="384"/>
    </row>
    <row r="4" spans="2:12" x14ac:dyDescent="0.25">
      <c r="B4" s="384"/>
      <c r="C4" s="722"/>
      <c r="D4" s="722"/>
      <c r="E4" s="722"/>
      <c r="F4" s="722"/>
      <c r="G4" s="722"/>
    </row>
    <row r="5" spans="2:12" ht="30" customHeight="1" x14ac:dyDescent="0.25">
      <c r="B5" s="783" t="s">
        <v>322</v>
      </c>
      <c r="C5" s="694" t="s">
        <v>1223</v>
      </c>
      <c r="D5" s="694" t="s">
        <v>1069</v>
      </c>
      <c r="E5" s="962" t="s">
        <v>174</v>
      </c>
      <c r="F5" s="800"/>
      <c r="G5" s="800"/>
    </row>
    <row r="6" spans="2:12" x14ac:dyDescent="0.25">
      <c r="B6" s="784" t="s">
        <v>403</v>
      </c>
      <c r="C6" s="803">
        <f>'Biomass Data Assumptions'!AE7</f>
        <v>9628.0164639999985</v>
      </c>
      <c r="D6" s="833">
        <f>C6*(6000*2000)*(1/3412)*0.24/1000</f>
        <v>8126.8134279953092</v>
      </c>
      <c r="E6" s="952">
        <f>D6/7446</f>
        <v>1.091433444533348</v>
      </c>
      <c r="F6" s="130"/>
      <c r="G6" s="130"/>
    </row>
    <row r="7" spans="2:12" x14ac:dyDescent="0.25">
      <c r="B7" s="784" t="s">
        <v>325</v>
      </c>
      <c r="C7" s="803">
        <f>'Biomass Data Assumptions'!AE8</f>
        <v>6059.0673769999976</v>
      </c>
      <c r="D7" s="833">
        <f t="shared" ref="D7:D26" si="0">C7*(6000*2000)*(1/3412)*0.24/1000</f>
        <v>5114.3358867995285</v>
      </c>
      <c r="E7" s="952">
        <f t="shared" ref="E7:E26" si="1">D7/7446</f>
        <v>0.68685682068218212</v>
      </c>
      <c r="F7" s="130"/>
      <c r="G7" s="130"/>
    </row>
    <row r="8" spans="2:12" x14ac:dyDescent="0.25">
      <c r="B8" s="784" t="s">
        <v>328</v>
      </c>
      <c r="C8" s="803">
        <f>'Biomass Data Assumptions'!AE9</f>
        <v>1094.7040610000004</v>
      </c>
      <c r="D8" s="833">
        <f t="shared" si="0"/>
        <v>924.01749580304829</v>
      </c>
      <c r="E8" s="952">
        <f t="shared" si="1"/>
        <v>0.12409582269715932</v>
      </c>
      <c r="F8" s="130"/>
      <c r="G8" s="130"/>
      <c r="L8" s="961"/>
    </row>
    <row r="9" spans="2:12" x14ac:dyDescent="0.25">
      <c r="B9" s="784" t="s">
        <v>331</v>
      </c>
      <c r="C9" s="803">
        <f>'Biomass Data Assumptions'!AE10</f>
        <v>5855.2502579999982</v>
      </c>
      <c r="D9" s="833">
        <f t="shared" si="0"/>
        <v>4942.2979903399746</v>
      </c>
      <c r="E9" s="952">
        <f t="shared" si="1"/>
        <v>0.66375208035723543</v>
      </c>
      <c r="F9" s="130"/>
      <c r="G9" s="130"/>
    </row>
    <row r="10" spans="2:12" x14ac:dyDescent="0.25">
      <c r="B10" s="784" t="s">
        <v>333</v>
      </c>
      <c r="C10" s="803">
        <f>'Biomass Data Assumptions'!AE11</f>
        <v>1.102310000000216</v>
      </c>
      <c r="D10" s="833">
        <f t="shared" si="0"/>
        <v>0.93043751465434388</v>
      </c>
      <c r="E10" s="952">
        <f t="shared" si="1"/>
        <v>1.2495803312575127E-4</v>
      </c>
      <c r="F10" s="130"/>
      <c r="G10" s="130"/>
    </row>
    <row r="11" spans="2:12" x14ac:dyDescent="0.25">
      <c r="B11" s="784" t="s">
        <v>335</v>
      </c>
      <c r="C11" s="803">
        <f>'Biomass Data Assumptions'!AE12</f>
        <v>1018.0935159999997</v>
      </c>
      <c r="D11" s="833">
        <f t="shared" si="0"/>
        <v>859.35208853458346</v>
      </c>
      <c r="E11" s="952">
        <f t="shared" si="1"/>
        <v>0.11541123939492123</v>
      </c>
      <c r="F11" s="130"/>
      <c r="G11" s="130"/>
    </row>
    <row r="12" spans="2:12" x14ac:dyDescent="0.25">
      <c r="B12" s="784" t="s">
        <v>336</v>
      </c>
      <c r="C12" s="803">
        <f>'Biomass Data Assumptions'!AE13</f>
        <v>8770.639746000008</v>
      </c>
      <c r="D12" s="833">
        <f t="shared" si="0"/>
        <v>7403.1191290973093</v>
      </c>
      <c r="E12" s="952">
        <f t="shared" si="1"/>
        <v>0.99424108636815867</v>
      </c>
      <c r="F12" s="130"/>
      <c r="G12" s="130"/>
    </row>
    <row r="13" spans="2:12" x14ac:dyDescent="0.25">
      <c r="B13" s="784" t="s">
        <v>337</v>
      </c>
      <c r="C13" s="803">
        <f>'Biomass Data Assumptions'!AE14</f>
        <v>10267.356263999998</v>
      </c>
      <c r="D13" s="833">
        <f t="shared" si="0"/>
        <v>8666.4671864947231</v>
      </c>
      <c r="E13" s="952">
        <f t="shared" si="1"/>
        <v>1.1639091037462697</v>
      </c>
      <c r="F13" s="130"/>
      <c r="G13" s="130"/>
    </row>
    <row r="14" spans="2:12" x14ac:dyDescent="0.25">
      <c r="B14" s="784" t="s">
        <v>338</v>
      </c>
      <c r="C14" s="803">
        <f>'Biomass Data Assumptions'!AE15</f>
        <v>1009.9364219999998</v>
      </c>
      <c r="D14" s="833">
        <f t="shared" si="0"/>
        <v>852.4668509261428</v>
      </c>
      <c r="E14" s="952">
        <f t="shared" si="1"/>
        <v>0.11448654994979086</v>
      </c>
      <c r="F14" s="130"/>
      <c r="G14" s="130"/>
    </row>
    <row r="15" spans="2:12" x14ac:dyDescent="0.25">
      <c r="B15" s="784" t="s">
        <v>339</v>
      </c>
      <c r="C15" s="803">
        <f>'Biomass Data Assumptions'!AE16</f>
        <v>1808.0088619999999</v>
      </c>
      <c r="D15" s="833">
        <f t="shared" si="0"/>
        <v>1526.1036115357558</v>
      </c>
      <c r="E15" s="952">
        <f t="shared" si="1"/>
        <v>0.20495616593281707</v>
      </c>
      <c r="F15" s="130"/>
      <c r="G15" s="130"/>
    </row>
    <row r="16" spans="2:12" x14ac:dyDescent="0.25">
      <c r="B16" s="784" t="s">
        <v>340</v>
      </c>
      <c r="C16" s="803">
        <f>'Biomass Data Assumptions'!AE17</f>
        <v>13427.348341000001</v>
      </c>
      <c r="D16" s="833">
        <f t="shared" si="0"/>
        <v>11333.752409753808</v>
      </c>
      <c r="E16" s="952">
        <f t="shared" si="1"/>
        <v>1.5221262973077905</v>
      </c>
      <c r="F16" s="130"/>
      <c r="G16" s="130"/>
    </row>
    <row r="17" spans="2:7" x14ac:dyDescent="0.25">
      <c r="B17" s="784" t="s">
        <v>341</v>
      </c>
      <c r="C17" s="803">
        <f>'Biomass Data Assumptions'!AE18</f>
        <v>40303.650299000001</v>
      </c>
      <c r="D17" s="833">
        <f t="shared" si="0"/>
        <v>34019.493804548649</v>
      </c>
      <c r="E17" s="952">
        <f t="shared" si="1"/>
        <v>4.5688280693726364</v>
      </c>
      <c r="F17" s="130"/>
      <c r="G17" s="130"/>
    </row>
    <row r="18" spans="2:7" x14ac:dyDescent="0.25">
      <c r="B18" s="784" t="s">
        <v>342</v>
      </c>
      <c r="C18" s="803">
        <f>'Biomass Data Assumptions'!AE19</f>
        <v>7739.7594339999987</v>
      </c>
      <c r="D18" s="833">
        <f t="shared" si="0"/>
        <v>6532.97396539273</v>
      </c>
      <c r="E18" s="952">
        <f t="shared" si="1"/>
        <v>0.87738033378897795</v>
      </c>
      <c r="F18" s="130"/>
      <c r="G18" s="130"/>
    </row>
    <row r="19" spans="2:7" x14ac:dyDescent="0.25">
      <c r="B19" s="784" t="s">
        <v>343</v>
      </c>
      <c r="C19" s="803">
        <f>'Biomass Data Assumptions'!AE20</f>
        <v>10760.750219999998</v>
      </c>
      <c r="D19" s="833">
        <f t="shared" si="0"/>
        <v>9082.9310180539251</v>
      </c>
      <c r="E19" s="952">
        <f t="shared" si="1"/>
        <v>1.2198403193733447</v>
      </c>
      <c r="F19" s="130"/>
      <c r="G19" s="130"/>
    </row>
    <row r="20" spans="2:7" x14ac:dyDescent="0.25">
      <c r="B20" s="784" t="s">
        <v>344</v>
      </c>
      <c r="C20" s="803">
        <f>'Biomass Data Assumptions'!AE21</f>
        <v>2.976237000000765</v>
      </c>
      <c r="D20" s="833">
        <f t="shared" si="0"/>
        <v>2.512181289566882</v>
      </c>
      <c r="E20" s="952">
        <f t="shared" si="1"/>
        <v>3.3738668943954903E-4</v>
      </c>
      <c r="F20" s="130"/>
      <c r="G20" s="130"/>
    </row>
    <row r="21" spans="2:7" x14ac:dyDescent="0.25">
      <c r="B21" s="784" t="s">
        <v>345</v>
      </c>
      <c r="C21" s="803">
        <f>'Biomass Data Assumptions'!AE22</f>
        <v>1749.1455079999998</v>
      </c>
      <c r="D21" s="833">
        <f t="shared" si="0"/>
        <v>1476.4182482532235</v>
      </c>
      <c r="E21" s="952">
        <f t="shared" si="1"/>
        <v>0.19828340696390323</v>
      </c>
      <c r="F21" s="130"/>
      <c r="G21" s="130"/>
    </row>
    <row r="22" spans="2:7" x14ac:dyDescent="0.25">
      <c r="B22" s="784" t="s">
        <v>346</v>
      </c>
      <c r="C22" s="803">
        <f>'Biomass Data Assumptions'!AE23</f>
        <v>292.88376700000003</v>
      </c>
      <c r="D22" s="833">
        <f t="shared" si="0"/>
        <v>247.21724764361079</v>
      </c>
      <c r="E22" s="952">
        <f t="shared" si="1"/>
        <v>3.3201349401505612E-2</v>
      </c>
      <c r="F22" s="130"/>
      <c r="G22" s="130"/>
    </row>
    <row r="23" spans="2:7" x14ac:dyDescent="0.25">
      <c r="B23" s="784" t="s">
        <v>347</v>
      </c>
      <c r="C23" s="803">
        <f>'Biomass Data Assumptions'!AE24</f>
        <v>5930.7584929999994</v>
      </c>
      <c r="D23" s="833">
        <f t="shared" si="0"/>
        <v>5006.0329600937848</v>
      </c>
      <c r="E23" s="952">
        <f t="shared" si="1"/>
        <v>0.67231170562634768</v>
      </c>
      <c r="F23" s="130"/>
      <c r="G23" s="130"/>
    </row>
    <row r="24" spans="2:7" x14ac:dyDescent="0.25">
      <c r="B24" s="784" t="s">
        <v>348</v>
      </c>
      <c r="C24" s="803">
        <f>'Biomass Data Assumptions'!AE25</f>
        <v>209.99005499999998</v>
      </c>
      <c r="D24" s="833">
        <f t="shared" si="0"/>
        <v>177.24834654161779</v>
      </c>
      <c r="E24" s="952">
        <f t="shared" si="1"/>
        <v>2.3804505310450953E-2</v>
      </c>
      <c r="F24" s="130"/>
      <c r="G24" s="130"/>
    </row>
    <row r="25" spans="2:7" x14ac:dyDescent="0.25">
      <c r="B25" s="784" t="s">
        <v>349</v>
      </c>
      <c r="C25" s="803">
        <f>'Biomass Data Assumptions'!AE26</f>
        <v>1084.7832709999984</v>
      </c>
      <c r="D25" s="833">
        <f t="shared" si="0"/>
        <v>915.64355817115927</v>
      </c>
      <c r="E25" s="952">
        <f t="shared" si="1"/>
        <v>0.12297120039902756</v>
      </c>
      <c r="F25" s="130"/>
      <c r="G25" s="130"/>
    </row>
    <row r="26" spans="2:7" ht="13.8" thickBot="1" x14ac:dyDescent="0.3">
      <c r="B26" s="786" t="s">
        <v>350</v>
      </c>
      <c r="C26" s="804">
        <f>'Biomass Data Assumptions'!AE27</f>
        <v>156.08709600000009</v>
      </c>
      <c r="D26" s="834">
        <f t="shared" si="0"/>
        <v>131.74995207502937</v>
      </c>
      <c r="E26" s="952">
        <f t="shared" si="1"/>
        <v>1.7694057490602922E-2</v>
      </c>
      <c r="F26" s="802"/>
      <c r="G26" s="802"/>
    </row>
    <row r="27" spans="2:7" ht="13.8" thickTop="1" x14ac:dyDescent="0.25">
      <c r="B27" s="789" t="s">
        <v>351</v>
      </c>
      <c r="C27" s="805">
        <f>SUM(C6:C26)</f>
        <v>127170.30800100001</v>
      </c>
      <c r="D27" s="835">
        <f>SUM(D6:D26)</f>
        <v>107341.87779685811</v>
      </c>
      <c r="E27" s="963">
        <f t="shared" ref="E27" si="2">SUM(E6:E26)</f>
        <v>14.416045903419034</v>
      </c>
      <c r="F27" s="801"/>
      <c r="G27" s="801"/>
    </row>
    <row r="29" spans="2:7" x14ac:dyDescent="0.25">
      <c r="B29" s="851" t="s">
        <v>1331</v>
      </c>
    </row>
    <row r="30" spans="2:7" x14ac:dyDescent="0.25">
      <c r="B30" s="384" t="s">
        <v>1339</v>
      </c>
    </row>
    <row r="31" spans="2:7" ht="15.6" x14ac:dyDescent="0.25">
      <c r="B31" s="384" t="s">
        <v>1340</v>
      </c>
    </row>
    <row r="32" spans="2:7" x14ac:dyDescent="0.25">
      <c r="B32" t="s">
        <v>1332</v>
      </c>
    </row>
    <row r="33" spans="2:2" ht="15.6" x14ac:dyDescent="0.25">
      <c r="B33" s="850" t="s">
        <v>1341</v>
      </c>
    </row>
    <row r="34" spans="2:2" x14ac:dyDescent="0.25">
      <c r="B34" s="384" t="s">
        <v>1338</v>
      </c>
    </row>
    <row r="35" spans="2:2" x14ac:dyDescent="0.25">
      <c r="B35" s="384" t="s">
        <v>1459</v>
      </c>
    </row>
    <row r="36" spans="2:2" x14ac:dyDescent="0.25">
      <c r="B36" s="384" t="s">
        <v>1085</v>
      </c>
    </row>
    <row r="37" spans="2:2" ht="15.6" x14ac:dyDescent="0.25">
      <c r="B37" s="384" t="s">
        <v>1342</v>
      </c>
    </row>
    <row r="38" spans="2:2" ht="15.6" x14ac:dyDescent="0.25">
      <c r="B38" s="384" t="s">
        <v>1343</v>
      </c>
    </row>
  </sheetData>
  <pageMargins left="0.7" right="0.7" top="0.75" bottom="0.75" header="0.3" footer="0.3"/>
  <pageSetup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E66"/>
  <sheetViews>
    <sheetView workbookViewId="0">
      <selection activeCell="D32" sqref="D32"/>
    </sheetView>
  </sheetViews>
  <sheetFormatPr defaultColWidth="8.88671875" defaultRowHeight="13.2" x14ac:dyDescent="0.25"/>
  <cols>
    <col min="1" max="1" width="30.44140625" customWidth="1"/>
    <col min="2" max="3" width="50.33203125" customWidth="1"/>
    <col min="4" max="4" width="31" customWidth="1"/>
  </cols>
  <sheetData>
    <row r="1" spans="1:4" ht="18" x14ac:dyDescent="0.35">
      <c r="A1" s="1191" t="s">
        <v>1018</v>
      </c>
      <c r="B1" s="1191"/>
      <c r="C1" s="1191"/>
      <c r="D1" s="580"/>
    </row>
    <row r="2" spans="1:4" x14ac:dyDescent="0.25">
      <c r="A2" s="375" t="s">
        <v>39</v>
      </c>
      <c r="B2" s="375" t="s">
        <v>40</v>
      </c>
      <c r="C2" s="375" t="s">
        <v>1019</v>
      </c>
      <c r="D2" s="577"/>
    </row>
    <row r="3" spans="1:4" x14ac:dyDescent="0.25">
      <c r="A3" s="377" t="s">
        <v>43</v>
      </c>
      <c r="B3" s="378" t="s">
        <v>44</v>
      </c>
      <c r="C3" s="379" t="s">
        <v>45</v>
      </c>
      <c r="D3" s="578"/>
    </row>
    <row r="4" spans="1:4" x14ac:dyDescent="0.25">
      <c r="A4" s="377" t="s">
        <v>1100</v>
      </c>
      <c r="B4" s="378" t="s">
        <v>48</v>
      </c>
      <c r="C4" s="379" t="s">
        <v>1101</v>
      </c>
      <c r="D4" s="578"/>
    </row>
    <row r="5" spans="1:4" x14ac:dyDescent="0.25">
      <c r="A5" s="377" t="s">
        <v>47</v>
      </c>
      <c r="B5" s="378" t="s">
        <v>1102</v>
      </c>
      <c r="C5" s="379" t="s">
        <v>49</v>
      </c>
      <c r="D5" s="578"/>
    </row>
    <row r="6" spans="1:4" x14ac:dyDescent="0.25">
      <c r="A6" s="377" t="s">
        <v>59</v>
      </c>
      <c r="B6" s="386" t="s">
        <v>1132</v>
      </c>
      <c r="C6" s="379" t="s">
        <v>60</v>
      </c>
      <c r="D6" s="578"/>
    </row>
    <row r="7" spans="1:4" x14ac:dyDescent="0.25">
      <c r="A7" s="378" t="s">
        <v>53</v>
      </c>
      <c r="B7" s="378" t="s">
        <v>54</v>
      </c>
      <c r="C7" s="379" t="s">
        <v>55</v>
      </c>
      <c r="D7" s="578"/>
    </row>
    <row r="8" spans="1:4" x14ac:dyDescent="0.25">
      <c r="A8" s="378" t="s">
        <v>56</v>
      </c>
      <c r="B8" s="378" t="s">
        <v>57</v>
      </c>
      <c r="C8" s="379" t="s">
        <v>58</v>
      </c>
      <c r="D8" s="578"/>
    </row>
    <row r="9" spans="1:4" x14ac:dyDescent="0.25">
      <c r="A9" s="393" t="s">
        <v>69</v>
      </c>
      <c r="B9" s="378" t="s">
        <v>70</v>
      </c>
      <c r="C9" s="379" t="s">
        <v>71</v>
      </c>
      <c r="D9" s="579"/>
    </row>
    <row r="10" spans="1:4" x14ac:dyDescent="0.25">
      <c r="A10" s="393" t="s">
        <v>78</v>
      </c>
      <c r="B10" s="378" t="s">
        <v>1310</v>
      </c>
      <c r="C10" s="379" t="s">
        <v>80</v>
      </c>
      <c r="D10" s="579"/>
    </row>
    <row r="11" spans="1:4" x14ac:dyDescent="0.25">
      <c r="A11" s="393" t="s">
        <v>81</v>
      </c>
      <c r="B11" s="378" t="s">
        <v>82</v>
      </c>
      <c r="C11" s="379" t="s">
        <v>83</v>
      </c>
      <c r="D11" s="579"/>
    </row>
    <row r="12" spans="1:4" x14ac:dyDescent="0.25">
      <c r="A12" s="377" t="s">
        <v>62</v>
      </c>
      <c r="B12" s="378" t="s">
        <v>63</v>
      </c>
      <c r="C12" s="379" t="s">
        <v>64</v>
      </c>
      <c r="D12" s="579"/>
    </row>
    <row r="13" spans="1:4" x14ac:dyDescent="0.25">
      <c r="A13" s="378" t="s">
        <v>66</v>
      </c>
      <c r="B13" s="378" t="s">
        <v>67</v>
      </c>
      <c r="C13" s="379" t="s">
        <v>68</v>
      </c>
      <c r="D13" s="579"/>
    </row>
    <row r="14" spans="1:4" x14ac:dyDescent="0.25">
      <c r="D14" s="579"/>
    </row>
    <row r="15" spans="1:4" x14ac:dyDescent="0.25">
      <c r="A15" s="652" t="s">
        <v>1104</v>
      </c>
      <c r="B15" s="378" t="s">
        <v>1136</v>
      </c>
      <c r="C15" s="379" t="s">
        <v>1135</v>
      </c>
    </row>
    <row r="16" spans="1:4" x14ac:dyDescent="0.25">
      <c r="A16" s="652" t="s">
        <v>1103</v>
      </c>
      <c r="B16" s="378" t="s">
        <v>1136</v>
      </c>
      <c r="C16" s="379"/>
      <c r="D16" s="579"/>
    </row>
    <row r="17" spans="1:4" x14ac:dyDescent="0.25">
      <c r="A17" s="378"/>
      <c r="B17" s="378"/>
      <c r="C17" s="379"/>
      <c r="D17" s="579"/>
    </row>
    <row r="18" spans="1:4" x14ac:dyDescent="0.25">
      <c r="A18" s="378" t="s">
        <v>1026</v>
      </c>
      <c r="B18" s="378" t="s">
        <v>1027</v>
      </c>
      <c r="C18" s="379" t="s">
        <v>1028</v>
      </c>
      <c r="D18" s="579"/>
    </row>
    <row r="19" spans="1:4" x14ac:dyDescent="0.25">
      <c r="A19" s="378" t="s">
        <v>1029</v>
      </c>
      <c r="B19" s="378" t="s">
        <v>1030</v>
      </c>
      <c r="C19" s="379" t="s">
        <v>1031</v>
      </c>
      <c r="D19" s="579"/>
    </row>
    <row r="20" spans="1:4" x14ac:dyDescent="0.25">
      <c r="A20" s="378" t="s">
        <v>1292</v>
      </c>
      <c r="B20" s="383" t="s">
        <v>1110</v>
      </c>
      <c r="C20" s="379" t="s">
        <v>74</v>
      </c>
      <c r="D20" s="579"/>
    </row>
    <row r="21" spans="1:4" x14ac:dyDescent="0.25">
      <c r="A21" s="378" t="s">
        <v>1105</v>
      </c>
      <c r="B21" s="378" t="s">
        <v>1111</v>
      </c>
      <c r="C21" s="653" t="s">
        <v>1106</v>
      </c>
      <c r="D21" s="579"/>
    </row>
    <row r="22" spans="1:4" x14ac:dyDescent="0.25">
      <c r="A22" s="378" t="s">
        <v>1107</v>
      </c>
      <c r="B22" s="378" t="s">
        <v>1112</v>
      </c>
      <c r="C22" s="379" t="s">
        <v>1108</v>
      </c>
      <c r="D22" s="579"/>
    </row>
    <row r="23" spans="1:4" x14ac:dyDescent="0.25">
      <c r="A23" s="378" t="s">
        <v>1109</v>
      </c>
      <c r="B23" s="378" t="s">
        <v>1113</v>
      </c>
      <c r="C23" s="379" t="s">
        <v>1114</v>
      </c>
      <c r="D23" s="579"/>
    </row>
    <row r="24" spans="1:4" x14ac:dyDescent="0.25">
      <c r="A24" s="378" t="s">
        <v>1115</v>
      </c>
      <c r="B24" s="378" t="s">
        <v>1116</v>
      </c>
      <c r="C24" s="653" t="s">
        <v>1117</v>
      </c>
      <c r="D24" s="579"/>
    </row>
    <row r="25" spans="1:4" x14ac:dyDescent="0.25">
      <c r="A25" s="378" t="s">
        <v>1118</v>
      </c>
      <c r="B25" s="378" t="s">
        <v>1119</v>
      </c>
      <c r="C25" s="653" t="s">
        <v>1120</v>
      </c>
      <c r="D25" s="579"/>
    </row>
    <row r="26" spans="1:4" x14ac:dyDescent="0.25">
      <c r="A26" s="378" t="s">
        <v>1121</v>
      </c>
      <c r="B26" s="378" t="s">
        <v>1123</v>
      </c>
      <c r="C26" s="379" t="s">
        <v>1122</v>
      </c>
      <c r="D26" s="579"/>
    </row>
    <row r="27" spans="1:4" x14ac:dyDescent="0.25">
      <c r="A27" s="378" t="s">
        <v>1129</v>
      </c>
      <c r="B27" s="378" t="s">
        <v>1130</v>
      </c>
      <c r="C27" s="653" t="s">
        <v>1131</v>
      </c>
      <c r="D27" s="579"/>
    </row>
    <row r="28" spans="1:4" x14ac:dyDescent="0.25">
      <c r="A28" s="378" t="s">
        <v>1137</v>
      </c>
      <c r="B28" s="378" t="s">
        <v>1138</v>
      </c>
      <c r="C28" s="378" t="s">
        <v>1139</v>
      </c>
      <c r="D28" s="579"/>
    </row>
    <row r="29" spans="1:4" x14ac:dyDescent="0.25">
      <c r="A29" s="378" t="s">
        <v>1189</v>
      </c>
      <c r="B29" s="378" t="s">
        <v>1190</v>
      </c>
      <c r="C29" s="379" t="s">
        <v>1191</v>
      </c>
      <c r="D29" s="579"/>
    </row>
    <row r="30" spans="1:4" x14ac:dyDescent="0.25">
      <c r="A30" s="378" t="s">
        <v>1199</v>
      </c>
      <c r="B30" s="378" t="s">
        <v>1200</v>
      </c>
      <c r="C30" s="379" t="s">
        <v>1201</v>
      </c>
      <c r="D30" s="579"/>
    </row>
    <row r="31" spans="1:4" x14ac:dyDescent="0.25">
      <c r="A31" s="378" t="s">
        <v>1302</v>
      </c>
      <c r="B31" s="378" t="s">
        <v>1303</v>
      </c>
      <c r="C31" s="379" t="s">
        <v>1304</v>
      </c>
      <c r="D31" s="579"/>
    </row>
    <row r="32" spans="1:4" x14ac:dyDescent="0.25">
      <c r="A32" s="378" t="s">
        <v>1203</v>
      </c>
      <c r="B32" s="378" t="s">
        <v>1308</v>
      </c>
      <c r="C32" s="379" t="s">
        <v>1204</v>
      </c>
      <c r="D32" s="579"/>
    </row>
    <row r="33" spans="1:57" x14ac:dyDescent="0.25">
      <c r="A33" s="378" t="s">
        <v>1322</v>
      </c>
      <c r="B33" s="378" t="s">
        <v>1327</v>
      </c>
      <c r="C33" s="379" t="s">
        <v>1323</v>
      </c>
      <c r="D33" s="579"/>
    </row>
    <row r="34" spans="1:57" x14ac:dyDescent="0.25">
      <c r="A34" s="378" t="s">
        <v>1326</v>
      </c>
      <c r="B34" s="378" t="s">
        <v>1328</v>
      </c>
      <c r="C34" s="653" t="s">
        <v>1329</v>
      </c>
      <c r="D34" s="579"/>
    </row>
    <row r="35" spans="1:57" x14ac:dyDescent="0.25">
      <c r="A35" s="579"/>
      <c r="B35" s="579"/>
      <c r="C35" s="581"/>
    </row>
    <row r="36" spans="1:57" ht="18" x14ac:dyDescent="0.35">
      <c r="A36" s="1191" t="s">
        <v>1017</v>
      </c>
      <c r="B36" s="1191"/>
      <c r="C36" s="1191"/>
      <c r="D36" s="1191"/>
    </row>
    <row r="37" spans="1:57" s="376" customFormat="1" ht="15.75" customHeight="1" x14ac:dyDescent="0.3">
      <c r="A37" s="550"/>
      <c r="B37" s="375" t="s">
        <v>39</v>
      </c>
      <c r="C37" s="375" t="s">
        <v>40</v>
      </c>
      <c r="D37" s="375" t="s">
        <v>41</v>
      </c>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row>
    <row r="38" spans="1:57" s="380" customFormat="1" ht="15.75" customHeight="1" x14ac:dyDescent="0.25">
      <c r="A38" s="377" t="s">
        <v>42</v>
      </c>
      <c r="B38" s="377" t="s">
        <v>43</v>
      </c>
      <c r="C38" s="378" t="s">
        <v>44</v>
      </c>
      <c r="D38" s="379" t="s">
        <v>45</v>
      </c>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row>
    <row r="39" spans="1:57" s="380" customFormat="1" ht="15.75" customHeight="1" x14ac:dyDescent="0.25">
      <c r="A39" s="377" t="s">
        <v>46</v>
      </c>
      <c r="B39" s="377" t="s">
        <v>47</v>
      </c>
      <c r="C39" s="378" t="s">
        <v>48</v>
      </c>
      <c r="D39" s="379" t="s">
        <v>49</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row>
    <row r="40" spans="1:57" s="380" customFormat="1" ht="15.75" customHeight="1" x14ac:dyDescent="0.3">
      <c r="A40" s="381" t="s">
        <v>50</v>
      </c>
      <c r="B40" s="378" t="s">
        <v>137</v>
      </c>
      <c r="C40" s="378" t="s">
        <v>51</v>
      </c>
      <c r="D40" s="379" t="s">
        <v>52</v>
      </c>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row>
    <row r="41" spans="1:57" s="380" customFormat="1" ht="15.75" customHeight="1" x14ac:dyDescent="0.25">
      <c r="A41" s="377"/>
      <c r="B41" s="378" t="s">
        <v>53</v>
      </c>
      <c r="C41" s="378" t="s">
        <v>54</v>
      </c>
      <c r="D41" s="379" t="s">
        <v>55</v>
      </c>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row>
    <row r="42" spans="1:57" s="380" customFormat="1" ht="15.75" customHeight="1" x14ac:dyDescent="0.25">
      <c r="A42" s="377"/>
      <c r="B42" s="378" t="s">
        <v>56</v>
      </c>
      <c r="C42" s="378" t="s">
        <v>57</v>
      </c>
      <c r="D42" s="379" t="s">
        <v>58</v>
      </c>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row>
    <row r="43" spans="1:57" s="382" customFormat="1" ht="15.75" customHeight="1" x14ac:dyDescent="0.3">
      <c r="A43" s="377"/>
      <c r="B43" s="378" t="s">
        <v>59</v>
      </c>
      <c r="C43" s="378" t="s">
        <v>579</v>
      </c>
      <c r="D43" s="379" t="s">
        <v>60</v>
      </c>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row>
    <row r="44" spans="1:57" s="382" customFormat="1" ht="15.75" customHeight="1" x14ac:dyDescent="0.3">
      <c r="A44" s="377"/>
      <c r="B44" s="393" t="s">
        <v>24</v>
      </c>
      <c r="C44" s="378" t="s">
        <v>27</v>
      </c>
      <c r="D44" s="379" t="s">
        <v>26</v>
      </c>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row>
    <row r="45" spans="1:57" s="382" customFormat="1" ht="15.75" customHeight="1" x14ac:dyDescent="0.3">
      <c r="A45" s="377"/>
      <c r="B45" s="393" t="s">
        <v>15</v>
      </c>
      <c r="C45" s="378" t="s">
        <v>16</v>
      </c>
      <c r="D45" s="379" t="s">
        <v>17</v>
      </c>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row>
    <row r="46" spans="1:57" s="380" customFormat="1" ht="15.75" customHeight="1" x14ac:dyDescent="0.25">
      <c r="A46" s="377" t="s">
        <v>61</v>
      </c>
      <c r="B46" s="377" t="s">
        <v>62</v>
      </c>
      <c r="C46" s="378" t="s">
        <v>63</v>
      </c>
      <c r="D46" s="379" t="s">
        <v>64</v>
      </c>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row>
    <row r="47" spans="1:57" s="380" customFormat="1" ht="15.75" customHeight="1" x14ac:dyDescent="0.3">
      <c r="A47" s="381" t="s">
        <v>65</v>
      </c>
      <c r="B47" s="378" t="s">
        <v>66</v>
      </c>
      <c r="C47" s="378" t="s">
        <v>67</v>
      </c>
      <c r="D47" s="379" t="s">
        <v>68</v>
      </c>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row>
    <row r="48" spans="1:57" s="380" customFormat="1" ht="15.75" customHeight="1" x14ac:dyDescent="0.25">
      <c r="A48" s="377"/>
      <c r="B48" s="378" t="s">
        <v>69</v>
      </c>
      <c r="C48" s="378" t="s">
        <v>70</v>
      </c>
      <c r="D48" s="379" t="s">
        <v>71</v>
      </c>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row>
    <row r="49" spans="1:57" s="382" customFormat="1" ht="15.75" customHeight="1" x14ac:dyDescent="0.3">
      <c r="A49" s="377"/>
      <c r="B49" s="378" t="s">
        <v>72</v>
      </c>
      <c r="C49" s="383" t="s">
        <v>73</v>
      </c>
      <c r="D49" s="379" t="s">
        <v>74</v>
      </c>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row>
    <row r="50" spans="1:57" x14ac:dyDescent="0.25">
      <c r="A50" s="1"/>
      <c r="B50" s="378" t="s">
        <v>75</v>
      </c>
      <c r="C50" s="378" t="s">
        <v>76</v>
      </c>
      <c r="D50" s="379" t="s">
        <v>77</v>
      </c>
    </row>
    <row r="51" spans="1:57" s="382" customFormat="1" ht="15.75" customHeight="1" x14ac:dyDescent="0.3">
      <c r="A51" s="377"/>
      <c r="B51" s="378" t="s">
        <v>78</v>
      </c>
      <c r="C51" s="378" t="s">
        <v>79</v>
      </c>
      <c r="D51" s="379" t="s">
        <v>80</v>
      </c>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row>
    <row r="52" spans="1:57" s="380" customFormat="1" ht="15.75" customHeight="1" x14ac:dyDescent="0.25">
      <c r="A52" s="377"/>
      <c r="B52" s="378" t="s">
        <v>81</v>
      </c>
      <c r="C52" s="378" t="s">
        <v>82</v>
      </c>
      <c r="D52" s="379" t="s">
        <v>83</v>
      </c>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row>
    <row r="53" spans="1:57" s="380" customFormat="1" ht="15.75" customHeight="1" x14ac:dyDescent="0.25">
      <c r="A53" s="377" t="s">
        <v>84</v>
      </c>
      <c r="B53" s="377" t="s">
        <v>85</v>
      </c>
      <c r="C53" s="378" t="s">
        <v>86</v>
      </c>
      <c r="D53" s="379" t="s">
        <v>87</v>
      </c>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row>
    <row r="54" spans="1:57" s="380" customFormat="1" ht="15.75" customHeight="1" x14ac:dyDescent="0.3">
      <c r="A54" s="381" t="s">
        <v>28</v>
      </c>
      <c r="B54" s="378" t="s">
        <v>29</v>
      </c>
      <c r="C54" s="378" t="s">
        <v>30</v>
      </c>
      <c r="D54" s="379" t="s">
        <v>31</v>
      </c>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row>
    <row r="55" spans="1:57" s="380" customFormat="1" ht="15.75" customHeight="1" x14ac:dyDescent="0.25">
      <c r="A55" s="377" t="s">
        <v>32</v>
      </c>
      <c r="B55" s="377" t="s">
        <v>43</v>
      </c>
      <c r="C55" s="378" t="s">
        <v>44</v>
      </c>
      <c r="D55" s="379" t="s">
        <v>45</v>
      </c>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row>
    <row r="56" spans="1:57" s="384" customFormat="1" ht="15.75" customHeight="1" x14ac:dyDescent="0.3">
      <c r="A56" s="381" t="s">
        <v>33</v>
      </c>
      <c r="B56" s="378" t="s">
        <v>62</v>
      </c>
      <c r="C56" s="378" t="s">
        <v>63</v>
      </c>
      <c r="D56" s="379" t="s">
        <v>64</v>
      </c>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row>
    <row r="57" spans="1:57" s="384" customFormat="1" ht="15.75" customHeight="1" x14ac:dyDescent="0.25">
      <c r="A57" s="130"/>
      <c r="B57" s="378" t="s">
        <v>47</v>
      </c>
      <c r="C57" s="378" t="s">
        <v>48</v>
      </c>
      <c r="D57" s="379" t="s">
        <v>49</v>
      </c>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row>
    <row r="58" spans="1:57" s="384" customFormat="1" ht="15.75" customHeight="1" x14ac:dyDescent="0.25">
      <c r="A58"/>
      <c r="B58" s="386"/>
      <c r="C58" s="386"/>
      <c r="D58" s="386"/>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row>
    <row r="59" spans="1:57" s="386" customFormat="1" ht="15.75" customHeight="1" x14ac:dyDescent="0.25">
      <c r="A59" s="385" t="s">
        <v>34</v>
      </c>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row>
    <row r="60" spans="1:57" s="386" customFormat="1" ht="15.75" customHeight="1" x14ac:dyDescent="0.25">
      <c r="A60" s="385" t="s">
        <v>35</v>
      </c>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row>
    <row r="61" spans="1:57" s="386" customFormat="1" ht="15.75" customHeight="1" x14ac:dyDescent="0.25">
      <c r="A61" s="385" t="s">
        <v>36</v>
      </c>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row>
    <row r="62" spans="1:57" s="386" customFormat="1" ht="15.75" customHeight="1" x14ac:dyDescent="0.25">
      <c r="A62" s="385" t="s">
        <v>37</v>
      </c>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row>
    <row r="63" spans="1:57" s="386" customFormat="1" ht="15.75" customHeight="1" x14ac:dyDescent="0.25">
      <c r="A63" s="385" t="s">
        <v>25</v>
      </c>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row>
    <row r="64" spans="1:57" s="387" customFormat="1" ht="13.8" x14ac:dyDescent="0.25">
      <c r="A64" s="386"/>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row>
    <row r="65" spans="2:57" s="387" customFormat="1" ht="13.8" x14ac:dyDescent="0.2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row>
    <row r="66" spans="2:57" s="387" customFormat="1" ht="13.8" x14ac:dyDescent="0.25">
      <c r="B66"/>
      <c r="C66" s="384"/>
      <c r="D66" s="384"/>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row>
  </sheetData>
  <mergeCells count="2">
    <mergeCell ref="A36:D36"/>
    <mergeCell ref="A1:C1"/>
  </mergeCells>
  <phoneticPr fontId="0" type="noConversion"/>
  <hyperlinks>
    <hyperlink ref="D38" r:id="rId1"/>
    <hyperlink ref="D53" r:id="rId2"/>
    <hyperlink ref="D54" r:id="rId3"/>
    <hyperlink ref="D47" r:id="rId4"/>
    <hyperlink ref="D52" r:id="rId5"/>
    <hyperlink ref="D42" r:id="rId6"/>
    <hyperlink ref="D39" r:id="rId7"/>
    <hyperlink ref="D50" r:id="rId8"/>
    <hyperlink ref="D46" r:id="rId9"/>
    <hyperlink ref="D48" r:id="rId10"/>
    <hyperlink ref="D40" r:id="rId11"/>
    <hyperlink ref="D51" r:id="rId12"/>
    <hyperlink ref="D41" r:id="rId13" display="mailto:fennell@envsci.rutgers.edu"/>
    <hyperlink ref="D49" r:id="rId14"/>
    <hyperlink ref="D43" r:id="rId15"/>
    <hyperlink ref="D55" r:id="rId16"/>
    <hyperlink ref="D56" r:id="rId17"/>
    <hyperlink ref="D57" r:id="rId18"/>
    <hyperlink ref="D44" r:id="rId19"/>
    <hyperlink ref="D45" r:id="rId20"/>
    <hyperlink ref="C3" r:id="rId21"/>
    <hyperlink ref="C13" r:id="rId22"/>
    <hyperlink ref="C8" r:id="rId23"/>
    <hyperlink ref="C4" r:id="rId24"/>
    <hyperlink ref="C12" r:id="rId25"/>
    <hyperlink ref="C5" r:id="rId26"/>
    <hyperlink ref="C7" r:id="rId27" display="mailto:fennell@envsci.rutgers.edu"/>
    <hyperlink ref="C20" r:id="rId28"/>
    <hyperlink ref="C18" r:id="rId29" display="joseph.davis@"/>
    <hyperlink ref="C19" r:id="rId30"/>
    <hyperlink ref="C22" r:id="rId31"/>
    <hyperlink ref="C23" r:id="rId32"/>
    <hyperlink ref="C26" r:id="rId33"/>
    <hyperlink ref="C15" r:id="rId34"/>
    <hyperlink ref="C29" r:id="rId35"/>
    <hyperlink ref="C30" r:id="rId36"/>
    <hyperlink ref="C32" r:id="rId37"/>
    <hyperlink ref="C31" r:id="rId38"/>
    <hyperlink ref="C33" r:id="rId39"/>
  </hyperlinks>
  <pageMargins left="0.19" right="0.21" top="1.39" bottom="1" header="0.48" footer="0.5"/>
  <pageSetup orientation="landscape" r:id="rId40"/>
  <headerFooter alignWithMargins="0">
    <oddHeader>&amp;L&amp;P&amp;C&amp;"Times New Roman,Bold"&amp;14NJAES BPU Project
Team Members and Contact Information</oddHeader>
    <oddFooter>&amp;R&amp;"Arial,Italic"NJAES Report 2007-1 ©2007
New Jersey Agricultural Experiment Station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203"/>
  <sheetViews>
    <sheetView topLeftCell="A124" zoomScaleNormal="100" workbookViewId="0">
      <selection activeCell="B150" sqref="B150"/>
    </sheetView>
  </sheetViews>
  <sheetFormatPr defaultColWidth="9.109375" defaultRowHeight="13.2" x14ac:dyDescent="0.25"/>
  <cols>
    <col min="1" max="1" width="28.6640625" style="5" customWidth="1"/>
    <col min="2" max="2" width="42.554687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s="406" customFormat="1" ht="15.6" x14ac:dyDescent="0.3">
      <c r="A1" s="407" t="s">
        <v>566</v>
      </c>
      <c r="E1" s="412" t="s">
        <v>433</v>
      </c>
      <c r="I1" s="1192" t="str">
        <f>'Bioenergy Calculator'!B3</f>
        <v>None</v>
      </c>
      <c r="J1" s="1193"/>
      <c r="K1" s="1193"/>
      <c r="L1" s="1194"/>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144"/>
      <c r="G3" s="1144"/>
      <c r="H3" s="1199"/>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7"/>
      <c r="D5" s="7"/>
      <c r="E5" s="7"/>
      <c r="F5" s="7"/>
      <c r="G5" s="7"/>
      <c r="H5" s="7"/>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170.04119999999998</v>
      </c>
      <c r="D6" s="294" t="s">
        <v>431</v>
      </c>
      <c r="E6" s="294">
        <f>C6*'Prac. Rec. Assumptions'!B4</f>
        <v>0</v>
      </c>
      <c r="F6" s="294">
        <f>$E6</f>
        <v>0</v>
      </c>
      <c r="G6" s="294">
        <f>$E6</f>
        <v>0</v>
      </c>
      <c r="H6" s="294">
        <f>$E6</f>
        <v>0</v>
      </c>
      <c r="I6" s="71" t="str">
        <f>IF('Conversion Tables'!F7="NA","NA",$D6/'Conversion Tables'!F7)</f>
        <v>NA</v>
      </c>
      <c r="J6" s="71" t="str">
        <f>IF('Conversion Tables'!G7="NA","NA",$D6/'Conversion Tables'!G7)</f>
        <v>NA</v>
      </c>
      <c r="K6" s="71" t="str">
        <f>IF('Conversion Tables'!H7="NA","NA",$D6/'Conversion Tables'!H7)</f>
        <v>NA</v>
      </c>
      <c r="L6" s="71" t="str">
        <f>IF('Conversion Tables'!I7="NA","NA",$D6/'Conversion Tables'!I7)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272.12640000000005</v>
      </c>
      <c r="D7" s="294" t="s">
        <v>431</v>
      </c>
      <c r="E7" s="294">
        <f>C7*'Prac. Rec. Assumptions'!B5</f>
        <v>0</v>
      </c>
      <c r="F7" s="294">
        <f t="shared" ref="F7:H10" si="0">$E7</f>
        <v>0</v>
      </c>
      <c r="G7" s="294">
        <f t="shared" si="0"/>
        <v>0</v>
      </c>
      <c r="H7" s="294">
        <f t="shared" si="0"/>
        <v>0</v>
      </c>
      <c r="I7" s="71" t="str">
        <f>IF('Conversion Tables'!F8="NA","NA",$D7/'Conversion Tables'!F8)</f>
        <v>NA</v>
      </c>
      <c r="J7" s="71" t="str">
        <f>IF('Conversion Tables'!G8="NA","NA",$D7/'Conversion Tables'!G8)</f>
        <v>NA</v>
      </c>
      <c r="K7" s="71" t="str">
        <f>IF('Conversion Tables'!H8="NA","NA",$D7/'Conversion Tables'!H8)</f>
        <v>NA</v>
      </c>
      <c r="L7" s="71" t="str">
        <f>IF('Conversion Tables'!I8="NA","NA",$D7/'Conversion Tables'!I8)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1750</v>
      </c>
      <c r="D8" s="294" t="s">
        <v>431</v>
      </c>
      <c r="E8" s="294">
        <f>C8*'Prac. Rec. Assumptions'!B6</f>
        <v>0</v>
      </c>
      <c r="F8" s="294">
        <f t="shared" si="0"/>
        <v>0</v>
      </c>
      <c r="G8" s="294">
        <f t="shared" si="0"/>
        <v>0</v>
      </c>
      <c r="H8" s="294">
        <f t="shared" si="0"/>
        <v>0</v>
      </c>
      <c r="I8" s="71" t="str">
        <f>IF('Conversion Tables'!F9="NA","NA",$D8/'Conversion Tables'!F9)</f>
        <v>NA</v>
      </c>
      <c r="J8" s="71" t="str">
        <f>IF('Conversion Tables'!G9="NA","NA",$D8/'Conversion Tables'!G9)</f>
        <v>NA</v>
      </c>
      <c r="K8" s="71" t="str">
        <f>IF('Conversion Tables'!H9="NA","NA",$D8/'Conversion Tables'!H9)</f>
        <v>NA</v>
      </c>
      <c r="L8" s="71" t="str">
        <f>IF('Conversion Tables'!I9="NA","NA",$D8/'Conversion Tables'!I9)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356.4</v>
      </c>
      <c r="D9" s="294" t="s">
        <v>431</v>
      </c>
      <c r="E9" s="294">
        <f>C9*'Prac. Rec. Assumptions'!B7</f>
        <v>0</v>
      </c>
      <c r="F9" s="294">
        <f t="shared" si="0"/>
        <v>0</v>
      </c>
      <c r="G9" s="294">
        <f t="shared" si="0"/>
        <v>0</v>
      </c>
      <c r="H9" s="294">
        <f t="shared" si="0"/>
        <v>0</v>
      </c>
      <c r="I9" s="71" t="str">
        <f>IF('Conversion Tables'!F10="NA","NA",$D9/'Conversion Tables'!F10)</f>
        <v>NA</v>
      </c>
      <c r="J9" s="71" t="str">
        <f>IF('Conversion Tables'!G10="NA","NA",$D9/'Conversion Tables'!G10)</f>
        <v>NA</v>
      </c>
      <c r="K9" s="71" t="str">
        <f>IF('Conversion Tables'!H10="NA","NA",$D9/'Conversion Tables'!H10)</f>
        <v>NA</v>
      </c>
      <c r="L9" s="71" t="str">
        <f>IF('Conversion Tables'!I10="NA","NA",$D9/'Conversion Tables'!I10)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71" t="str">
        <f>IF('Conversion Tables'!F11="NA","NA",$D10/'Conversion Tables'!F11)</f>
        <v>NA</v>
      </c>
      <c r="J10" s="71" t="str">
        <f>IF('Conversion Tables'!G11="NA","NA",$D10/'Conversion Tables'!G11)</f>
        <v>NA</v>
      </c>
      <c r="K10" s="71" t="str">
        <f>IF('Conversion Tables'!H11="NA","NA",$D10/'Conversion Tables'!H11)</f>
        <v>NA</v>
      </c>
      <c r="L10" s="71" t="str">
        <f>IF('Conversion Tables'!I11="NA","NA",$D10/'Conversion Tables'!I11)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2548.5675999999999</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250.75</v>
      </c>
      <c r="D15" s="294">
        <f>E15*'Conversion Tables'!C14</f>
        <v>3155.8392000000003</v>
      </c>
      <c r="E15" s="294">
        <f>C15*'Prac. Rec. Assumptions'!B11</f>
        <v>200.60000000000002</v>
      </c>
      <c r="F15" s="294">
        <f>$E15</f>
        <v>200.60000000000002</v>
      </c>
      <c r="G15" s="294">
        <f>$E15</f>
        <v>200.60000000000002</v>
      </c>
      <c r="H15" s="294">
        <f>$E15</f>
        <v>200.60000000000002</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1109.25</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0</v>
      </c>
      <c r="D17" s="294">
        <f>E17*'Conversion Tables'!C16</f>
        <v>0</v>
      </c>
      <c r="E17" s="294">
        <f>C17*'Prac. Rec. Assumptions'!B13</f>
        <v>0</v>
      </c>
      <c r="F17" s="294">
        <f t="shared" si="2"/>
        <v>0</v>
      </c>
      <c r="G17" s="294">
        <f t="shared" si="2"/>
        <v>0</v>
      </c>
      <c r="H17" s="294">
        <f t="shared" si="2"/>
        <v>0</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286.99999999999994</v>
      </c>
      <c r="D18" s="294">
        <f>E18*'Conversion Tables'!C17</f>
        <v>3386.3129999999987</v>
      </c>
      <c r="E18" s="294">
        <f>C18*'Prac. Rec. Assumptions'!B14</f>
        <v>215.24999999999994</v>
      </c>
      <c r="F18" s="294">
        <f t="shared" si="2"/>
        <v>215.24999999999994</v>
      </c>
      <c r="G18" s="294">
        <f t="shared" si="2"/>
        <v>215.24999999999994</v>
      </c>
      <c r="H18" s="294">
        <f t="shared" si="2"/>
        <v>215.24999999999994</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848.6400000000001</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855.43999999999994</v>
      </c>
      <c r="D20" s="294">
        <f>E20*'Conversion Tables'!C19</f>
        <v>6672.4319999999998</v>
      </c>
      <c r="E20" s="294">
        <f>C20*'Prac. Rec. Assumptions'!B16</f>
        <v>427.71999999999997</v>
      </c>
      <c r="F20" s="294">
        <f t="shared" si="2"/>
        <v>427.71999999999997</v>
      </c>
      <c r="G20" s="294">
        <f t="shared" si="2"/>
        <v>427.71999999999997</v>
      </c>
      <c r="H20" s="294">
        <f t="shared" si="2"/>
        <v>427.71999999999997</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330.22499999999997</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Assumptions'!P7*1000*'Energy Content Assumptions'!C18</f>
        <v>93145</v>
      </c>
      <c r="D22" s="294">
        <f>E22*'Conversion Tables'!C21</f>
        <v>726531</v>
      </c>
      <c r="E22" s="294">
        <f>C22*'Prac. Rec. Assumptions'!B18</f>
        <v>46572.5</v>
      </c>
      <c r="F22" s="294">
        <f t="shared" si="2"/>
        <v>46572.5</v>
      </c>
      <c r="G22" s="294">
        <f t="shared" si="2"/>
        <v>46572.5</v>
      </c>
      <c r="H22" s="294">
        <f t="shared" si="2"/>
        <v>46572.5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256.13</v>
      </c>
      <c r="D23" s="294">
        <f>E23*'Conversion Tables'!C22</f>
        <v>4184.1396799999993</v>
      </c>
      <c r="E23" s="294">
        <f>C23*'Prac. Rec. Assumptions'!B19</f>
        <v>256.13</v>
      </c>
      <c r="F23" s="297">
        <f t="shared" si="2"/>
        <v>256.13</v>
      </c>
      <c r="G23" s="297">
        <f t="shared" si="2"/>
        <v>256.13</v>
      </c>
      <c r="H23" s="297">
        <f t="shared" si="2"/>
        <v>256.13</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6324.6</v>
      </c>
      <c r="D25" s="294">
        <f>E25*'Conversion Tables'!C24</f>
        <v>111945.42</v>
      </c>
      <c r="E25" s="294">
        <f>C25*'Prac. Rec. Assumptions'!B21</f>
        <v>6324.6</v>
      </c>
      <c r="F25" s="294">
        <f>($C25*(1+'Biomass Data Assumptions'!G$92))*'Prac. Rec. Assumptions'!$B21</f>
        <v>6523.2662971175178</v>
      </c>
      <c r="G25" s="294">
        <f>($C25*(1+'Biomass Data Assumptions'!H$92))*'Prac. Rec. Assumptions'!$B21</f>
        <v>6726.6070953436802</v>
      </c>
      <c r="H25" s="294">
        <f>($C25*(1+'Biomass Data Assumptions'!I$92))*'Prac. Rec. Assumptions'!$B21</f>
        <v>6953.3203991130822</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3115.3033333333333</v>
      </c>
      <c r="D26" s="294">
        <f>E26*'Conversion Tables'!C25</f>
        <v>48598.731999999996</v>
      </c>
      <c r="E26" s="294">
        <f>C26*'Prac. Rec. Assumptions'!B22</f>
        <v>3115.3033333333333</v>
      </c>
      <c r="F26" s="294">
        <f>($C26*(1+'Biomass Data Assumptions'!G$92))*'Prac. Rec. Assumptions'!$B22</f>
        <v>3213.1602377432869</v>
      </c>
      <c r="G26" s="294">
        <f>($C26*(1+'Biomass Data Assumptions'!H$92))*'Prac. Rec. Assumptions'!$B22</f>
        <v>3313.3196575511206</v>
      </c>
      <c r="H26" s="294">
        <f>($C26*(1+'Biomass Data Assumptions'!I$92))*'Prac. Rec. Assumptions'!$B22</f>
        <v>3424.9916543483614</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11268.019999999999</v>
      </c>
      <c r="D27" s="294">
        <f>E27*'Conversion Tables'!C26</f>
        <v>175781.11199999996</v>
      </c>
      <c r="E27" s="294">
        <f>C27*'Prac. Rec. Assumptions'!B23</f>
        <v>11268.019999999999</v>
      </c>
      <c r="F27" s="294">
        <f>($C27*(1+'Biomass Data Assumptions'!G$92))*'Prac. Rec. Assumptions'!$B23</f>
        <v>11621.96741315595</v>
      </c>
      <c r="G27" s="294">
        <f>($C27*(1+'Biomass Data Assumptions'!H$92))*'Prac. Rec. Assumptions'!$B23</f>
        <v>11984.243000739096</v>
      </c>
      <c r="H27" s="294">
        <f>($C27*(1+'Biomass Data Assumptions'!I$92))*'Prac. Rec. Assumptions'!$B23</f>
        <v>12388.159460458239</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606.79999999999995</v>
      </c>
      <c r="D28" s="294">
        <f>E28*'Conversion Tables'!C27</f>
        <v>10740.359999999999</v>
      </c>
      <c r="E28" s="294">
        <f>C28*'Prac. Rec. Assumptions'!B24</f>
        <v>606.79999999999995</v>
      </c>
      <c r="F28" s="294">
        <f>($C28*(1+'Biomass Data Assumptions'!G$92))*'Prac. Rec. Assumptions'!$B24</f>
        <v>625.86060606060607</v>
      </c>
      <c r="G28" s="294">
        <f>($C28*(1+'Biomass Data Assumptions'!H$92))*'Prac. Rec. Assumptions'!$B24</f>
        <v>645.36969696969686</v>
      </c>
      <c r="H28" s="294">
        <f>($C28*(1+'Biomass Data Assumptions'!I$92))*'Prac. Rec. Assumptions'!$B24</f>
        <v>667.12121212121201</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118397.15833333334</v>
      </c>
      <c r="D29" s="295">
        <f t="shared" si="3"/>
        <v>1090995.34788</v>
      </c>
      <c r="E29" s="295">
        <f t="shared" si="3"/>
        <v>68986.92333333334</v>
      </c>
      <c r="F29" s="295">
        <f t="shared" si="3"/>
        <v>69656.454554077354</v>
      </c>
      <c r="G29" s="295">
        <f t="shared" si="3"/>
        <v>70341.739450603578</v>
      </c>
      <c r="H29" s="295">
        <f t="shared" si="3"/>
        <v>71105.792726040891</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11274.485594400001</v>
      </c>
      <c r="D32" s="294">
        <f>E32*'Conversion Tables'!C29</f>
        <v>108235.06170624003</v>
      </c>
      <c r="E32" s="294">
        <f>C32*'Prac. Rec. Assumptions'!B26</f>
        <v>6764.6913566400017</v>
      </c>
      <c r="F32" s="294">
        <f>($C32*(1+'Biomass Data Assumptions'!G$92)*(1+'Biomass Data Assumptions'!C$82))*'Prac. Rec. Assumptions'!$B26</f>
        <v>6972.4442982739192</v>
      </c>
      <c r="G32" s="294">
        <f>($C32*(1+'Biomass Data Assumptions'!H$92)*(1+'Biomass Data Assumptions'!D$82))*'Prac. Rec. Assumptions'!$B26</f>
        <v>7184.9049860184105</v>
      </c>
      <c r="H32" s="294">
        <f>($C32*(1+'Biomass Data Assumptions'!I$92)*(1+'Biomass Data Assumptions'!E$82))*'Prac. Rec. Assumptions'!$B26</f>
        <v>7422.021919306495</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41584.464882000007</v>
      </c>
      <c r="D33" s="294">
        <f>E33*'Conversion Tables'!C30</f>
        <v>483111.67921312334</v>
      </c>
      <c r="E33" s="294">
        <f>C33*'Prac. Rec. Assumptions'!B27</f>
        <v>33267.571905600009</v>
      </c>
      <c r="F33" s="294">
        <f>($C33*(1+'Biomass Data Assumptions'!G$92)*(1+'Biomass Data Assumptions'!C$82))*'Prac. Rec. Assumptions'!$B27</f>
        <v>34289.264627415352</v>
      </c>
      <c r="G33" s="294">
        <f>($C33*(1+'Biomass Data Assumptions'!H$92)*(1+'Biomass Data Assumptions'!D$82))*'Prac. Rec. Assumptions'!$B27</f>
        <v>35334.109223276377</v>
      </c>
      <c r="H33" s="294">
        <f>($C33*(1+'Biomass Data Assumptions'!I$92)*(1+'Biomass Data Assumptions'!E$82))*'Prac. Rec. Assumptions'!$B27</f>
        <v>36500.20893312549</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31987.136225999999</v>
      </c>
      <c r="D34" s="294">
        <f>E34*'Conversion Tables'!C31</f>
        <v>334452.37843725987</v>
      </c>
      <c r="E34" s="294">
        <f>C34*'Prac. Rec. Assumptions'!B28</f>
        <v>23030.738082720003</v>
      </c>
      <c r="F34" s="294">
        <f>($C34*(1+'Biomass Data Assumptions'!G$92)*(1+'Biomass Data Assumptions'!C$82))*'Prac. Rec. Assumptions'!$B28</f>
        <v>23738.043609673397</v>
      </c>
      <c r="G34" s="294">
        <f>($C34*(1+'Biomass Data Assumptions'!H$92)*(1+'Biomass Data Assumptions'!D$82))*'Prac. Rec. Assumptions'!$B28</f>
        <v>24461.376899301613</v>
      </c>
      <c r="H34" s="294">
        <f>($C34*(1+'Biomass Data Assumptions'!I$92)*(1+'Biomass Data Assumptions'!E$82))*'Prac. Rec. Assumptions'!$B28</f>
        <v>25268.653639307693</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20944.182400000005</v>
      </c>
      <c r="D35" s="294">
        <f>E35*'Conversion Tables'!C32</f>
        <v>237255.69822720008</v>
      </c>
      <c r="E35" s="294">
        <f>C35*'Prac. Rec. Assumptions'!B29</f>
        <v>13404.276736000005</v>
      </c>
      <c r="F35" s="545">
        <f>($C35*(1+'Biomass Data Assumptions'!G$92)*(1+'Biomass Data Assumptions'!C$83))*'Prac. Rec. Assumptions'!$B29</f>
        <v>14519.512367887843</v>
      </c>
      <c r="G35" s="545">
        <f>($C35*(1+'Biomass Data Assumptions'!H$92)*(1+'Biomass Data Assumptions'!D$83))*'Prac. Rec. Assumptions'!$B29</f>
        <v>15723.875101843978</v>
      </c>
      <c r="H35" s="545">
        <f>($C35*(1+'Biomass Data Assumptions'!I$92)*(1+'Biomass Data Assumptions'!E$83))*'Prac. Rec. Assumptions'!$B29</f>
        <v>17069.95464863746</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11" t="s">
        <v>563</v>
      </c>
      <c r="C37" s="294">
        <f>C132</f>
        <v>1041.9475</v>
      </c>
      <c r="D37" s="294">
        <f>E37*'Conversion Tables'!C34</f>
        <v>16671.16</v>
      </c>
      <c r="E37" s="294">
        <f>C37*'Prac. Rec. Assumptions'!B31</f>
        <v>1041.9475</v>
      </c>
      <c r="F37" s="294">
        <f>($C37*(1+'Biomass Data Assumptions'!G$92)*(1+'Biomass Data Assumptions'!C$84))*'Prac. Rec. Assumptions'!$B31</f>
        <v>1175.1335084637317</v>
      </c>
      <c r="G37" s="294">
        <f>($C37*(1+'Biomass Data Assumptions'!H$92)*(1+'Biomass Data Assumptions'!D$84))*'Prac. Rec. Assumptions'!$B31</f>
        <v>1325.0354339075691</v>
      </c>
      <c r="H37" s="294">
        <f>($C37*(1+'Biomass Data Assumptions'!I$92)*(1+'Biomass Data Assumptions'!E$84))*'Prac. Rec. Assumptions'!$B31</f>
        <v>1497.7281818032409</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1336.808</v>
      </c>
      <c r="D38" s="294">
        <f>E38*'Conversion Tables'!C35</f>
        <v>11830.7508</v>
      </c>
      <c r="E38" s="294">
        <f>C38*'Prac. Rec. Assumptions'!B32</f>
        <v>668.404</v>
      </c>
      <c r="F38" s="294">
        <f>($C38*(1+'Biomass Data Assumptions'!G$92)*(1+'Biomass Data Assumptions'!C$84))*'Prac. Rec. Assumptions'!$B32</f>
        <v>753.84214424545587</v>
      </c>
      <c r="G38" s="294">
        <f>($C38*(1+'Biomass Data Assumptions'!H$92)*(1+'Biomass Data Assumptions'!D$84))*'Prac. Rec. Assumptions'!$B32</f>
        <v>850.00346386507454</v>
      </c>
      <c r="H38" s="294">
        <f>($C38*(1+'Biomass Data Assumptions'!I$92)*(1+'Biomass Data Assumptions'!E$84))*'Prac. Rec. Assumptions'!$B32</f>
        <v>960.78497969428736</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16633.133999999998</v>
      </c>
      <c r="D39" s="294">
        <f>E39*'Conversion Tables'!C36</f>
        <v>0</v>
      </c>
      <c r="E39" s="294">
        <f>C39*'Prac. Rec. Assumptions'!B33</f>
        <v>0</v>
      </c>
      <c r="F39" s="294">
        <f>($C39*(1+'Biomass Data Assumptions'!G$92)*(1+'Biomass Data Assumptions'!C$84))*'Prac. Rec. Assumptions'!$B33</f>
        <v>0</v>
      </c>
      <c r="G39" s="294">
        <f>($C39*(1+'Biomass Data Assumptions'!H$92)*(1+'Biomass Data Assumptions'!D$84))*'Prac. Rec. Assumptions'!$B33</f>
        <v>0</v>
      </c>
      <c r="H39" s="294">
        <f>($C39*(1+'Biomass Data Assumptions'!I$92)*(1+'Biomass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16"/>
    </row>
    <row r="40" spans="1:17" x14ac:dyDescent="0.25">
      <c r="A40" s="1065"/>
      <c r="B40" s="17" t="s">
        <v>556</v>
      </c>
      <c r="C40" s="294">
        <f>C125</f>
        <v>3580.6410000000001</v>
      </c>
      <c r="D40" s="294">
        <f>E40*'Conversion Tables'!C37</f>
        <v>0</v>
      </c>
      <c r="E40" s="294">
        <f>C40*'Prac. Rec. Assumptions'!B34</f>
        <v>0</v>
      </c>
      <c r="F40" s="294">
        <f>($C40*(1+'Biomass Data Assumptions'!G$92)*(1+'Biomass Data Assumptions'!C$84))*'Prac. Rec. Assumptions'!$B34</f>
        <v>0</v>
      </c>
      <c r="G40" s="294">
        <f>($C40*(1+'Biomass Data Assumptions'!H$92)*(1+'Biomass Data Assumptions'!D$84))*'Prac. Rec. Assumptions'!$B34</f>
        <v>0</v>
      </c>
      <c r="H40" s="294">
        <f>($C40*(1+'Biomass Data Assumptions'!I$92)*(1+'Biomass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16"/>
    </row>
    <row r="41" spans="1:17" x14ac:dyDescent="0.25">
      <c r="A41" s="1065"/>
      <c r="B41" s="17" t="s">
        <v>557</v>
      </c>
      <c r="C41" s="294">
        <f>C126</f>
        <v>8365.482</v>
      </c>
      <c r="D41" s="294">
        <f>E41*'Conversion Tables'!C38</f>
        <v>0</v>
      </c>
      <c r="E41" s="294">
        <f>C41*'Prac. Rec. Assumptions'!B35</f>
        <v>0</v>
      </c>
      <c r="F41" s="294">
        <f>($C41*(1+'Biomass Data Assumptions'!G$92)*(1+'Biomass Data Assumptions'!C$84))*'Prac. Rec. Assumptions'!$B35</f>
        <v>0</v>
      </c>
      <c r="G41" s="294">
        <f>($C41*(1+'Biomass Data Assumptions'!H$92)*(1+'Biomass Data Assumptions'!D$84))*'Prac. Rec. Assumptions'!$B35</f>
        <v>0</v>
      </c>
      <c r="H41" s="294">
        <f>($C41*(1+'Biomass Data Assumptions'!I$92)*(1+'Biomass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16"/>
    </row>
    <row r="42" spans="1:17" x14ac:dyDescent="0.25">
      <c r="A42" s="1065"/>
      <c r="B42" s="17" t="s">
        <v>558</v>
      </c>
      <c r="C42" s="294">
        <f>C127</f>
        <v>6988.59</v>
      </c>
      <c r="D42" s="294">
        <f>E42*'Conversion Tables'!C39</f>
        <v>101488.30398</v>
      </c>
      <c r="E42" s="294">
        <f>C42*'Prac. Rec. Assumptions'!B36</f>
        <v>6988.59</v>
      </c>
      <c r="F42" s="294">
        <f>($C42*(1+'Biomass Data Assumptions'!G$92)*(1+'Biomass Data Assumptions'!C$84))*'Prac. Rec. Assumptions'!$B36</f>
        <v>7881.9002741640552</v>
      </c>
      <c r="G42" s="294">
        <f>($C42*(1+'Biomass Data Assumptions'!H$92)*(1+'Biomass Data Assumptions'!D$84))*'Prac. Rec. Assumptions'!$B36</f>
        <v>8887.3281840515938</v>
      </c>
      <c r="H42" s="294">
        <f>($C42*(1+'Biomass Data Assumptions'!I$92)*(1+'Biomass Data Assumptions'!E$84))*'Prac. Rec. Assumptions'!$B36</f>
        <v>10045.619567270243</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16"/>
    </row>
    <row r="43" spans="1:17" x14ac:dyDescent="0.25">
      <c r="A43" s="1065"/>
      <c r="B43" s="9" t="s">
        <v>524</v>
      </c>
      <c r="C43" s="295">
        <f t="shared" ref="C43:P43" si="4">SUM(C31:C42)</f>
        <v>143736.8716024</v>
      </c>
      <c r="D43" s="295">
        <f t="shared" si="4"/>
        <v>1293045.0323638231</v>
      </c>
      <c r="E43" s="295">
        <f t="shared" si="4"/>
        <v>85166.219580960009</v>
      </c>
      <c r="F43" s="295">
        <f t="shared" si="4"/>
        <v>89330.140830123753</v>
      </c>
      <c r="G43" s="295">
        <f t="shared" si="4"/>
        <v>93766.633292264625</v>
      </c>
      <c r="H43" s="295">
        <f t="shared" si="4"/>
        <v>98764.971869144909</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116.16</v>
      </c>
      <c r="D46" s="294">
        <f>E46*'Conversion Tables'!C41</f>
        <v>0</v>
      </c>
      <c r="E46" s="294">
        <f>C46*'Prac. Rec. Assumptions'!B38</f>
        <v>116.16</v>
      </c>
      <c r="F46" s="294">
        <f>$E46</f>
        <v>116.16</v>
      </c>
      <c r="G46" s="294">
        <f>$E46</f>
        <v>116.16</v>
      </c>
      <c r="H46" s="294">
        <f>$E46</f>
        <v>116.16</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1026.8132600000001</v>
      </c>
      <c r="D47" s="294">
        <f>E47*'Conversion Tables'!C42</f>
        <v>15402.198900000001</v>
      </c>
      <c r="E47" s="294">
        <f>C47*'Prac. Rec. Assumptions'!B39</f>
        <v>513.40663000000006</v>
      </c>
      <c r="F47" s="545">
        <f>($C47*(1+'Biomass Data Assumptions'!G$92))*'Prac. Rec. Assumptions'!$B39</f>
        <v>529.53359361788625</v>
      </c>
      <c r="G47" s="545">
        <f>($C47*(1+'Biomass Data Assumptions'!H$92))*'Prac. Rec. Assumptions'!$B39</f>
        <v>546.0400152032521</v>
      </c>
      <c r="H47" s="545">
        <f>($C47*(1+'Biomass Data Assumptions'!I$92))*'Prac. Rec. Assumptions'!$B39</f>
        <v>564.44372662601631</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91.768003249999992</v>
      </c>
      <c r="D48" s="294">
        <f>E48*'Conversion Tables'!C43</f>
        <v>2753.0400974999998</v>
      </c>
      <c r="E48" s="294">
        <f>C48*'Prac. Rec. Assumptions'!B40</f>
        <v>91.768003249999992</v>
      </c>
      <c r="F48" s="545">
        <f>($C48*(1+'Biomass Data Assumptions'!G$92))*'Prac. Rec. Assumptions'!$B40</f>
        <v>94.650590196138211</v>
      </c>
      <c r="G48" s="545">
        <f>($C48*(1+'Biomass Data Assumptions'!H$92))*'Prac. Rec. Assumptions'!$B40</f>
        <v>97.601002717479659</v>
      </c>
      <c r="H48" s="545">
        <f>($C48*(1+'Biomass Data Assumptions'!I$92))*'Prac. Rec. Assumptions'!$B40</f>
        <v>100.89054311483739</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1234.7412632500002</v>
      </c>
      <c r="D49" s="295">
        <f>SUM(D45:D48)</f>
        <v>18155.238997500001</v>
      </c>
      <c r="E49" s="295">
        <f t="shared" si="6"/>
        <v>721.33463325000002</v>
      </c>
      <c r="F49" s="295">
        <f>SUM(F45:F48)</f>
        <v>740.3441838140244</v>
      </c>
      <c r="G49" s="295">
        <f>SUM(G45:G48)</f>
        <v>759.80101792073174</v>
      </c>
      <c r="H49" s="295">
        <f>SUM(H45:H48)</f>
        <v>781.49426974085372</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139.35408000000001</v>
      </c>
      <c r="D52" s="294">
        <f>E52*'Conversion Tables'!C45</f>
        <v>411.48472742400003</v>
      </c>
      <c r="E52" s="294">
        <f>C52*'Prac. Rec. Assumptions'!B42</f>
        <v>27.870816000000005</v>
      </c>
      <c r="F52" s="294">
        <f t="shared" ref="F52:H59" si="7">$E52</f>
        <v>27.870816000000005</v>
      </c>
      <c r="G52" s="294">
        <f t="shared" si="7"/>
        <v>27.870816000000005</v>
      </c>
      <c r="H52" s="294">
        <f t="shared" si="7"/>
        <v>27.870816000000005</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16"/>
    </row>
    <row r="53" spans="1:17" x14ac:dyDescent="0.25">
      <c r="A53" s="1201"/>
      <c r="B53" s="12" t="s">
        <v>539</v>
      </c>
      <c r="C53" s="294">
        <f>G102</f>
        <v>34.654924999999999</v>
      </c>
      <c r="D53" s="294">
        <f>E53*'Conversion Tables'!C46</f>
        <v>306.98718761999999</v>
      </c>
      <c r="E53" s="294">
        <f>C53*'Prac. Rec. Assumptions'!B43</f>
        <v>20.792954999999999</v>
      </c>
      <c r="F53" s="294">
        <f t="shared" si="7"/>
        <v>20.792954999999999</v>
      </c>
      <c r="G53" s="294">
        <f t="shared" si="7"/>
        <v>20.792954999999999</v>
      </c>
      <c r="H53" s="294">
        <f t="shared" si="7"/>
        <v>20.792954999999999</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16"/>
    </row>
    <row r="54" spans="1:17" x14ac:dyDescent="0.25">
      <c r="A54" s="1201"/>
      <c r="B54" s="12" t="s">
        <v>545</v>
      </c>
      <c r="C54" s="294">
        <f>G104</f>
        <v>35.567425</v>
      </c>
      <c r="D54" s="294">
        <f>E54*'Conversion Tables'!C47</f>
        <v>315.07047761999996</v>
      </c>
      <c r="E54" s="294">
        <f>C54*'Prac. Rec. Assumptions'!B44</f>
        <v>21.340454999999999</v>
      </c>
      <c r="F54" s="294">
        <f t="shared" si="7"/>
        <v>21.340454999999999</v>
      </c>
      <c r="G54" s="294">
        <f t="shared" si="7"/>
        <v>21.340454999999999</v>
      </c>
      <c r="H54" s="294">
        <f t="shared" si="7"/>
        <v>21.340454999999999</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16"/>
    </row>
    <row r="55" spans="1:17" x14ac:dyDescent="0.25">
      <c r="A55" s="1201"/>
      <c r="B55" s="12" t="s">
        <v>546</v>
      </c>
      <c r="C55" s="294">
        <f>G106</f>
        <v>1847.3307</v>
      </c>
      <c r="D55" s="294">
        <f>E55*'Conversion Tables'!C48</f>
        <v>5454.7980909600001</v>
      </c>
      <c r="E55" s="294">
        <f>C55*'Prac. Rec. Assumptions'!B45</f>
        <v>369.46614</v>
      </c>
      <c r="F55" s="294">
        <f t="shared" si="7"/>
        <v>369.46614</v>
      </c>
      <c r="G55" s="294">
        <f t="shared" si="7"/>
        <v>369.46614</v>
      </c>
      <c r="H55" s="294">
        <f t="shared" si="7"/>
        <v>369.46614</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16"/>
    </row>
    <row r="56" spans="1:17" x14ac:dyDescent="0.25">
      <c r="A56" s="1201"/>
      <c r="B56" s="12" t="s">
        <v>547</v>
      </c>
      <c r="C56" s="294">
        <f>G108</f>
        <v>30.422750000000001</v>
      </c>
      <c r="D56" s="294">
        <f>E56*'Conversion Tables'!C49</f>
        <v>89.832296200000002</v>
      </c>
      <c r="E56" s="294">
        <f>C56*'Prac. Rec. Assumptions'!B46</f>
        <v>6.0845500000000001</v>
      </c>
      <c r="F56" s="294">
        <f t="shared" si="7"/>
        <v>6.0845500000000001</v>
      </c>
      <c r="G56" s="294">
        <f t="shared" si="7"/>
        <v>6.0845500000000001</v>
      </c>
      <c r="H56" s="294">
        <f t="shared" si="7"/>
        <v>6.0845500000000001</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16"/>
    </row>
    <row r="57" spans="1:17" x14ac:dyDescent="0.25">
      <c r="A57" s="1201"/>
      <c r="B57" s="133" t="s">
        <v>605</v>
      </c>
      <c r="C57" s="294">
        <f>G115</f>
        <v>6.0042499999999999</v>
      </c>
      <c r="D57" s="294">
        <f>E57*'Conversion Tables'!C50</f>
        <v>44.323373499999995</v>
      </c>
      <c r="E57" s="294">
        <f>C57*'Prac. Rec. Assumptions'!B47</f>
        <v>3.0021249999999999</v>
      </c>
      <c r="F57" s="294">
        <f t="shared" si="7"/>
        <v>3.0021249999999999</v>
      </c>
      <c r="G57" s="294">
        <f t="shared" si="7"/>
        <v>3.0021249999999999</v>
      </c>
      <c r="H57" s="294">
        <f t="shared" si="7"/>
        <v>3.0021249999999999</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16"/>
    </row>
    <row r="58" spans="1:17" x14ac:dyDescent="0.25">
      <c r="A58" s="1201"/>
      <c r="B58" s="12" t="s">
        <v>551</v>
      </c>
      <c r="C58" s="294">
        <f>G112</f>
        <v>0</v>
      </c>
      <c r="D58" s="294">
        <f>E58*'Conversion Tables'!C51</f>
        <v>0</v>
      </c>
      <c r="E58" s="294">
        <f>C58*'Prac. Rec. Assumptions'!B48</f>
        <v>0</v>
      </c>
      <c r="F58" s="294">
        <f t="shared" si="7"/>
        <v>0</v>
      </c>
      <c r="G58" s="294">
        <f t="shared" si="7"/>
        <v>0</v>
      </c>
      <c r="H58" s="294">
        <f t="shared" si="7"/>
        <v>0</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16"/>
    </row>
    <row r="59" spans="1:17" x14ac:dyDescent="0.25">
      <c r="A59" s="1201"/>
      <c r="B59" s="12" t="s">
        <v>552</v>
      </c>
      <c r="C59" s="294">
        <f>G114</f>
        <v>0</v>
      </c>
      <c r="D59" s="294">
        <f>E59*'Conversion Tables'!C52</f>
        <v>0</v>
      </c>
      <c r="E59" s="294">
        <f>C59*'Prac. Rec. Assumptions'!B49</f>
        <v>0</v>
      </c>
      <c r="F59" s="294">
        <f t="shared" si="7"/>
        <v>0</v>
      </c>
      <c r="G59" s="294">
        <f t="shared" si="7"/>
        <v>0</v>
      </c>
      <c r="H59" s="294">
        <f t="shared" si="7"/>
        <v>0</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16"/>
    </row>
    <row r="60" spans="1:17" x14ac:dyDescent="0.25">
      <c r="A60" s="1202"/>
      <c r="B60" s="129" t="s">
        <v>305</v>
      </c>
      <c r="C60" s="294">
        <f>'Biomass Data Assumptions'!AE7</f>
        <v>9628.0164639999985</v>
      </c>
      <c r="D60" s="294">
        <f>E60*'Conversion Tables'!C53</f>
        <v>115536.19756799997</v>
      </c>
      <c r="E60" s="294">
        <f>C60*'Prac. Rec. Assumptions'!B50</f>
        <v>9628.0164639999985</v>
      </c>
      <c r="F60" s="545">
        <f>($C60*(1+'Biomass Data Assumptions'!G$92*(4/5)))*'Prac. Rec. Assumptions'!$B50</f>
        <v>9869.9621844552839</v>
      </c>
      <c r="G60" s="545">
        <f>($C60*(1+'Biomass Data Assumptions'!H$92*(9/10)))*'Prac. Rec. Assumptions'!$B50</f>
        <v>10178.798780565852</v>
      </c>
      <c r="H60" s="545">
        <f>($C60*(1+'Biomass Data Assumptions'!I$92*(14/15)))*'Prac. Rec. Assumptions'!$B50</f>
        <v>10521.318016190784</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11721.350594</v>
      </c>
      <c r="D61" s="295">
        <f>SUM(D52:D60)</f>
        <v>122158.69372132397</v>
      </c>
      <c r="E61" s="295">
        <f t="shared" ref="E61:P61" si="8">SUM(E52:E60)</f>
        <v>10076.573504999998</v>
      </c>
      <c r="F61" s="595">
        <f>SUM(F52:F60)</f>
        <v>10318.519225455284</v>
      </c>
      <c r="G61" s="595">
        <f>SUM(G52:G60)</f>
        <v>10627.355821565852</v>
      </c>
      <c r="H61" s="595">
        <f>SUM(H52:H60)</f>
        <v>10969.875057190784</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596"/>
      <c r="G62" s="596"/>
      <c r="H62" s="596"/>
      <c r="I62" s="7"/>
      <c r="J62" s="7"/>
      <c r="K62" s="7"/>
      <c r="L62" s="7"/>
      <c r="M62" s="7"/>
      <c r="N62" s="7"/>
      <c r="O62" s="7"/>
      <c r="P62" s="7"/>
      <c r="Q62" s="7"/>
    </row>
    <row r="63" spans="1:17" x14ac:dyDescent="0.25">
      <c r="A63" s="1203"/>
      <c r="B63" s="133" t="s">
        <v>304</v>
      </c>
      <c r="C63" s="294">
        <f>'Biomass Data Assumptions'!AB7</f>
        <v>98.396513849999991</v>
      </c>
      <c r="D63" s="294">
        <f>E63*'Conversion Tables'!C55</f>
        <v>60907.442073149992</v>
      </c>
      <c r="E63" s="294">
        <f>C63*'Prac. Rec. Assumptions'!B51</f>
        <v>98.396513849999991</v>
      </c>
      <c r="F63" s="545">
        <f>($C63*(1+'Biomass Data Assumptions'!G$92*(4/5)))*'Prac. Rec. Assumptions'!$B51</f>
        <v>100.86915351807095</v>
      </c>
      <c r="G63" s="545">
        <f>($C63*(1+'Biomass Data Assumptions'!H$92*(9/10)))*'Prac. Rec. Assumptions'!$B51</f>
        <v>104.02540532966739</v>
      </c>
      <c r="H63" s="545">
        <f>($C63*(1+'Biomass Data Assumptions'!I$92*(14/15)))*'Prac. Rec. Assumptions'!$B51</f>
        <v>107.52588736956393</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Assumptions'!X7</f>
        <v>900.57781536869993</v>
      </c>
      <c r="D64" s="297">
        <f>E64*'Conversion Tables'!C56</f>
        <v>455692.37457656214</v>
      </c>
      <c r="E64" s="294">
        <f>C64*'Prac. Rec. Assumptions'!B52</f>
        <v>900.57781536869993</v>
      </c>
      <c r="F64" s="545">
        <f>($C64*(1+'Biomass Data Assumptions'!G$92*(3/5))*(1+('Biomass Data Assumptions'!C$82-((1+'Biomass Data Assumptions'!$B$82)^2 - 1))))*'Prac. Rec. Assumptions'!$B52</f>
        <v>917.17726322457486</v>
      </c>
      <c r="G64" s="545">
        <f>($C64*(1+'Biomass Data Assumptions'!H$92*(4/5))*(1+('Biomass Data Assumptions'!D$82-((1+'Biomass Data Assumptions'!$B$82)^2 - 1))))*'Prac. Rec. Assumptions'!$B52</f>
        <v>945.34454497564957</v>
      </c>
      <c r="H64" s="545">
        <f>($C64*(1+'Biomass Data Assumptions'!I$92*(13/15))*(1+('Biomass Data Assumptions'!E$82-((1+'Biomass Data Assumptions'!$B$82)^2 - 1))))*'Prac. Rec. Assumptions'!$B52</f>
        <v>976.44100309361136</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998.97432921869995</v>
      </c>
      <c r="D65" s="295">
        <f>SUM(D63:D64)</f>
        <v>516599.81664971216</v>
      </c>
      <c r="E65" s="295">
        <f t="shared" ref="E65:P65" si="9">SUM(E63:E64)</f>
        <v>998.97432921869995</v>
      </c>
      <c r="F65" s="295">
        <f>SUM(F63:F64)</f>
        <v>1018.0464167426458</v>
      </c>
      <c r="G65" s="295">
        <f>SUM(G63:G64)</f>
        <v>1049.3699503053169</v>
      </c>
      <c r="H65" s="295">
        <f>SUM(H63:H64)</f>
        <v>1083.9668904631753</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50563.715968067183</v>
      </c>
      <c r="D67" s="295">
        <f t="shared" ref="D67" si="10">D61+D65</f>
        <v>638758.51037103613</v>
      </c>
      <c r="E67" s="295">
        <f>E61+(E63*1000000/29487.1582406855)+(E64*1000000/25364.5039539246)</f>
        <v>48918.93887906718</v>
      </c>
      <c r="F67" s="295">
        <f t="shared" ref="F67:H67" si="11">F61+(F63*1000000/29487.1582406855)+(F64*1000000/25364.5039539246)</f>
        <v>49899.175528439853</v>
      </c>
      <c r="G67" s="295">
        <f t="shared" si="11"/>
        <v>51425.550310936291</v>
      </c>
      <c r="H67" s="295">
        <f t="shared" si="11"/>
        <v>53112.764926099575</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316481.05476705055</v>
      </c>
      <c r="D68" s="132"/>
      <c r="E68" s="132">
        <f>E11+E29+E43+E49+E67</f>
        <v>203793.41642661049</v>
      </c>
      <c r="F68" s="132">
        <f>F11+F29+F43+F49+F67</f>
        <v>209626.11509645497</v>
      </c>
      <c r="G68" s="132">
        <f>G11+G29+G43+G49+G67</f>
        <v>216293.72407172521</v>
      </c>
      <c r="H68" s="132">
        <f>H11+H29+H43+H49+H67</f>
        <v>223765.02379102624</v>
      </c>
      <c r="I68" s="264"/>
    </row>
    <row r="69" spans="1:19" ht="13.8" thickBot="1" x14ac:dyDescent="0.3">
      <c r="A69" s="10"/>
      <c r="B69" s="10"/>
      <c r="C69" s="10"/>
      <c r="D69" s="10"/>
      <c r="E69" s="10"/>
      <c r="F69" s="10"/>
      <c r="G69" s="10"/>
      <c r="H69" s="10"/>
      <c r="I69" s="1003">
        <f>SUM(I8:I66)/2</f>
        <v>0</v>
      </c>
      <c r="J69" s="1003">
        <f t="shared" ref="J69:P69" si="13">SUM(J8:J66)/2</f>
        <v>0</v>
      </c>
      <c r="K69" s="1003">
        <f t="shared" si="13"/>
        <v>0</v>
      </c>
      <c r="L69" s="1003">
        <f t="shared" si="13"/>
        <v>0</v>
      </c>
      <c r="M69" s="1003">
        <f>SUM(M8:M66)/2</f>
        <v>0</v>
      </c>
      <c r="N69" s="1003">
        <f t="shared" si="13"/>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150" t="s">
        <v>598</v>
      </c>
      <c r="F73" s="38"/>
      <c r="G73" s="38"/>
      <c r="H73" s="36"/>
      <c r="I73" s="36"/>
      <c r="J73" s="36"/>
      <c r="K73" s="36"/>
      <c r="L73" s="36"/>
      <c r="M73" s="36"/>
      <c r="N73" s="36"/>
      <c r="O73" s="36"/>
      <c r="P73" s="36"/>
      <c r="Q73" s="36"/>
      <c r="R73" s="36"/>
    </row>
    <row r="74" spans="1:19" x14ac:dyDescent="0.25">
      <c r="A74" s="39" t="s">
        <v>519</v>
      </c>
      <c r="B74" s="21">
        <v>93</v>
      </c>
      <c r="C74" s="40">
        <f>'Biomass Data Assumptions'!B38*B74</f>
        <v>6072.9</v>
      </c>
      <c r="D74" s="40">
        <f>(C74*'Biomass Data Assumptions'!C38)/2000</f>
        <v>170.04119999999998</v>
      </c>
      <c r="E74" s="41"/>
      <c r="F74" s="41"/>
      <c r="G74" s="41"/>
      <c r="H74" s="36"/>
      <c r="I74" s="36"/>
      <c r="J74" s="36"/>
      <c r="K74" s="36"/>
      <c r="L74" s="36"/>
      <c r="M74" s="36"/>
      <c r="N74" s="36"/>
      <c r="O74" s="36"/>
      <c r="P74" s="36"/>
      <c r="Q74" s="36"/>
      <c r="R74" s="36"/>
    </row>
    <row r="75" spans="1:19" x14ac:dyDescent="0.25">
      <c r="A75" s="39" t="s">
        <v>520</v>
      </c>
      <c r="B75" s="21">
        <v>356</v>
      </c>
      <c r="C75" s="40">
        <f>'Biomass Data Assumptions'!B39*B75</f>
        <v>9718.8000000000011</v>
      </c>
      <c r="D75" s="40">
        <f>(C75*'Biomass Data Assumptions'!C39)/2000</f>
        <v>272.12640000000005</v>
      </c>
      <c r="E75" s="41"/>
      <c r="F75" s="41"/>
      <c r="G75" s="41"/>
      <c r="H75" s="36"/>
      <c r="I75" s="36"/>
      <c r="J75" s="36"/>
      <c r="K75" s="36"/>
      <c r="L75" s="36"/>
      <c r="M75" s="36"/>
      <c r="N75" s="36"/>
      <c r="O75" s="36"/>
      <c r="P75" s="36"/>
      <c r="Q75" s="36"/>
      <c r="R75" s="36"/>
    </row>
    <row r="76" spans="1:19" x14ac:dyDescent="0.25">
      <c r="A76" s="39" t="s">
        <v>521</v>
      </c>
      <c r="B76" s="422">
        <v>500</v>
      </c>
      <c r="C76" s="40">
        <f>'Biomass Data Assumptions'!B40*B76</f>
        <v>62500</v>
      </c>
      <c r="D76" s="40">
        <f>(C76*'Biomass Data Assumptions'!C40)/2000</f>
        <v>1750</v>
      </c>
      <c r="E76" s="41"/>
      <c r="F76" s="41"/>
      <c r="G76" s="41"/>
      <c r="H76" s="36"/>
      <c r="I76" s="36"/>
      <c r="J76" s="36"/>
      <c r="K76" s="36"/>
      <c r="L76" s="36"/>
      <c r="M76" s="36"/>
      <c r="N76" s="36"/>
      <c r="O76" s="36"/>
      <c r="P76" s="36"/>
      <c r="Q76" s="36"/>
      <c r="R76" s="36"/>
    </row>
    <row r="77" spans="1:19" x14ac:dyDescent="0.25">
      <c r="A77" s="39" t="s">
        <v>525</v>
      </c>
      <c r="B77" s="21">
        <v>121</v>
      </c>
      <c r="C77" s="40">
        <f>'Biomass Data Assumptions'!B41*B77</f>
        <v>3872</v>
      </c>
      <c r="D77" s="40">
        <f>(C77*'Biomass Data Assumptions'!C41)/2000</f>
        <v>116.16</v>
      </c>
      <c r="E77" s="41"/>
      <c r="F77" s="41"/>
      <c r="G77" s="41"/>
      <c r="H77" s="36"/>
      <c r="I77" s="36"/>
      <c r="J77" s="36"/>
      <c r="K77" s="36"/>
      <c r="L77" s="36"/>
      <c r="M77" s="36"/>
      <c r="N77" s="36"/>
      <c r="O77" s="36"/>
      <c r="P77" s="36"/>
      <c r="Q77" s="36"/>
      <c r="R77" s="36"/>
    </row>
    <row r="78" spans="1:19" x14ac:dyDescent="0.25">
      <c r="A78" s="39" t="s">
        <v>522</v>
      </c>
      <c r="B78" s="21">
        <v>220</v>
      </c>
      <c r="C78" s="40">
        <f>'Biomass Data Assumptions'!B42*B78</f>
        <v>11880</v>
      </c>
      <c r="D78" s="40">
        <f>(C78*'Biomass Data Assumptions'!C42)/2000</f>
        <v>356.4</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150" t="s">
        <v>598</v>
      </c>
      <c r="F80" s="38"/>
      <c r="G80" s="38"/>
      <c r="H80" s="36"/>
      <c r="I80" s="36"/>
      <c r="J80" s="36"/>
      <c r="K80" s="36"/>
      <c r="L80" s="36"/>
      <c r="M80" s="36"/>
      <c r="N80" s="36"/>
      <c r="O80" s="36"/>
      <c r="P80" s="36"/>
      <c r="Q80" s="36"/>
      <c r="R80" s="36"/>
    </row>
    <row r="81" spans="1:18" x14ac:dyDescent="0.25">
      <c r="A81" s="39" t="s">
        <v>527</v>
      </c>
      <c r="B81" s="21">
        <v>295</v>
      </c>
      <c r="C81" s="40">
        <f>'Biomass Data Assumptions'!B49*B81</f>
        <v>295</v>
      </c>
      <c r="D81" s="40">
        <f>C81*'Energy Content Assumptions'!C11</f>
        <v>250.75</v>
      </c>
      <c r="E81" s="41"/>
      <c r="F81" s="41"/>
      <c r="G81" s="41"/>
      <c r="H81" s="36"/>
      <c r="I81" s="36"/>
      <c r="J81" s="36"/>
      <c r="K81" s="36"/>
      <c r="L81" s="36"/>
      <c r="M81" s="36"/>
      <c r="N81" s="36"/>
      <c r="O81" s="36"/>
      <c r="P81" s="36"/>
      <c r="Q81" s="36"/>
      <c r="R81" s="36"/>
    </row>
    <row r="82" spans="1:18" x14ac:dyDescent="0.25">
      <c r="A82" s="39" t="s">
        <v>520</v>
      </c>
      <c r="B82" s="21">
        <f>356+224</f>
        <v>580</v>
      </c>
      <c r="C82" s="40">
        <f>'Biomass Data Assumptions'!B50*B82</f>
        <v>1305</v>
      </c>
      <c r="D82" s="40">
        <f>C82*'Energy Content Assumptions'!C12</f>
        <v>1109.25</v>
      </c>
      <c r="E82" s="41" t="s">
        <v>607</v>
      </c>
      <c r="F82" s="41"/>
      <c r="G82" s="41"/>
      <c r="H82" s="36"/>
      <c r="I82" s="36"/>
      <c r="J82" s="36"/>
      <c r="K82" s="36"/>
      <c r="L82" s="36"/>
      <c r="M82" s="36"/>
      <c r="N82" s="36"/>
      <c r="O82" s="36"/>
      <c r="P82" s="36"/>
      <c r="Q82" s="36"/>
      <c r="R82" s="36"/>
    </row>
    <row r="83" spans="1:18" x14ac:dyDescent="0.25">
      <c r="A83" s="39" t="s">
        <v>521</v>
      </c>
      <c r="B83" s="21">
        <v>0</v>
      </c>
      <c r="C83" s="40">
        <f>'Biomass Data Assumptions'!B51*B83</f>
        <v>0</v>
      </c>
      <c r="D83" s="40">
        <f>C83*'Energy Content Assumptions'!C13</f>
        <v>0</v>
      </c>
      <c r="E83" s="41"/>
      <c r="F83" s="41"/>
      <c r="G83" s="41"/>
      <c r="H83" s="36"/>
      <c r="I83" s="36"/>
      <c r="J83" s="36"/>
      <c r="K83" s="36"/>
      <c r="L83" s="36"/>
      <c r="M83" s="36"/>
      <c r="N83" s="36"/>
      <c r="O83" s="36"/>
      <c r="P83" s="36"/>
      <c r="Q83" s="36"/>
      <c r="R83" s="36"/>
    </row>
    <row r="84" spans="1:18" x14ac:dyDescent="0.25">
      <c r="A84" s="39" t="s">
        <v>528</v>
      </c>
      <c r="B84" s="21">
        <v>50</v>
      </c>
      <c r="C84" s="40">
        <f>'Biomass Data Assumptions'!B52*B84</f>
        <v>819.99999999999989</v>
      </c>
      <c r="D84" s="40">
        <f>C84*'Energy Content Assumptions'!C14</f>
        <v>286.99999999999994</v>
      </c>
      <c r="E84" s="41"/>
      <c r="F84" s="41"/>
      <c r="G84" s="41"/>
      <c r="H84" s="36"/>
      <c r="I84" s="36"/>
      <c r="J84" s="36"/>
      <c r="K84" s="36"/>
      <c r="L84" s="36"/>
      <c r="M84" s="36"/>
      <c r="N84" s="36"/>
      <c r="O84" s="36"/>
      <c r="P84" s="36"/>
      <c r="Q84" s="36"/>
      <c r="R84" s="36"/>
    </row>
    <row r="85" spans="1:18" x14ac:dyDescent="0.25">
      <c r="A85" s="39" t="s">
        <v>529</v>
      </c>
      <c r="B85" s="21">
        <v>312</v>
      </c>
      <c r="C85" s="40">
        <f>'Biomass Data Assumptions'!B53*B85</f>
        <v>998.40000000000009</v>
      </c>
      <c r="D85" s="40">
        <f>C85*'Energy Content Assumptions'!C15</f>
        <v>848.6400000000001</v>
      </c>
      <c r="E85" s="41"/>
      <c r="F85" s="41"/>
      <c r="G85" s="41"/>
      <c r="H85" s="36"/>
      <c r="I85" s="36"/>
      <c r="J85" s="36"/>
      <c r="K85" s="36"/>
      <c r="L85" s="36"/>
      <c r="M85" s="36"/>
      <c r="N85" s="36"/>
      <c r="O85" s="36"/>
      <c r="P85" s="36"/>
      <c r="Q85" s="36"/>
      <c r="R85" s="36"/>
    </row>
    <row r="86" spans="1:18" x14ac:dyDescent="0.25">
      <c r="A86" s="39" t="s">
        <v>530</v>
      </c>
      <c r="B86" s="21">
        <v>592</v>
      </c>
      <c r="C86" s="40">
        <f>'Biomass Data Assumptions'!B54*B86</f>
        <v>1006.4</v>
      </c>
      <c r="D86" s="40">
        <f>C86*'Energy Content Assumptions'!C16</f>
        <v>855.43999999999994</v>
      </c>
      <c r="E86" s="41"/>
      <c r="F86" s="41"/>
      <c r="G86" s="41"/>
      <c r="H86" s="36"/>
      <c r="I86" s="36"/>
      <c r="J86" s="36"/>
      <c r="K86" s="36"/>
      <c r="L86" s="36"/>
      <c r="M86" s="36"/>
      <c r="N86" s="36"/>
      <c r="O86" s="36"/>
      <c r="P86" s="36"/>
      <c r="Q86" s="36"/>
      <c r="R86" s="36"/>
    </row>
    <row r="87" spans="1:18" x14ac:dyDescent="0.25">
      <c r="A87" s="39" t="s">
        <v>522</v>
      </c>
      <c r="B87" s="21">
        <f>220+2</f>
        <v>222</v>
      </c>
      <c r="C87" s="40">
        <f>'Biomass Data Assumptions'!B55*B87</f>
        <v>388.5</v>
      </c>
      <c r="D87" s="40">
        <f>C87*'Energy Content Assumptions'!C17</f>
        <v>330.22499999999997</v>
      </c>
      <c r="E87" s="41" t="s">
        <v>608</v>
      </c>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idden="1" x14ac:dyDescent="0.25">
      <c r="A94" s="43" t="s">
        <v>535</v>
      </c>
      <c r="B94" s="36"/>
      <c r="C94" s="41"/>
      <c r="D94" s="41"/>
      <c r="E94" s="44"/>
      <c r="F94" s="36"/>
      <c r="G94" s="36"/>
      <c r="H94" s="36"/>
      <c r="I94" s="36"/>
      <c r="J94" s="44"/>
      <c r="K94" s="44"/>
      <c r="L94" s="44"/>
      <c r="M94" s="44"/>
      <c r="N94" s="36"/>
      <c r="O94" s="36"/>
      <c r="P94" s="36"/>
      <c r="Q94" s="36"/>
      <c r="R94" s="36"/>
    </row>
    <row r="95" spans="1:18" hidden="1" x14ac:dyDescent="0.25">
      <c r="A95" s="45" t="s">
        <v>536</v>
      </c>
      <c r="B95" s="85">
        <v>0</v>
      </c>
      <c r="C95" s="41">
        <f>ROUND('Biomass Data Assumptions'!B59/1000*B95,0)</f>
        <v>0</v>
      </c>
      <c r="D95" s="41">
        <f>'Biomass Data Assumptions'!C59*C95</f>
        <v>0</v>
      </c>
      <c r="E95" s="41">
        <f>('Biomass Data Assumptions'!D59*'Energy Content Assumptions'!C43*D95)/2000</f>
        <v>0</v>
      </c>
      <c r="F95" s="41">
        <f>('Biomass Data Assumptions'!E59*B95*365)/2000</f>
        <v>0</v>
      </c>
      <c r="G95" s="41">
        <f>(F95+E95)</f>
        <v>0</v>
      </c>
      <c r="H95" s="36"/>
      <c r="I95" s="36"/>
      <c r="J95" s="41"/>
      <c r="K95" s="41"/>
      <c r="L95" s="41"/>
      <c r="M95" s="41"/>
      <c r="N95" s="36"/>
      <c r="O95" s="36"/>
      <c r="P95" s="36"/>
      <c r="Q95" s="36"/>
      <c r="R95" s="36"/>
    </row>
    <row r="96" spans="1:18" hidden="1" x14ac:dyDescent="0.25">
      <c r="A96" s="45" t="s">
        <v>537</v>
      </c>
      <c r="B96" s="85">
        <v>4</v>
      </c>
      <c r="C96" s="41">
        <f>ROUND('Biomass Data Assumptions'!$B$60/1000*B96,0)</f>
        <v>4</v>
      </c>
      <c r="D96" s="41">
        <f>'Biomass Data Assumptions'!$C$60*C96</f>
        <v>134320</v>
      </c>
      <c r="E96" s="41">
        <f>('Biomass Data Assumptions'!$D$60*'Energy Content Assumptions'!$C$44*D96)/2000</f>
        <v>1.6118400000000002</v>
      </c>
      <c r="F96" s="41">
        <f>('Biomass Data Assumptions'!$E$60*B96*365)/2000</f>
        <v>2.92</v>
      </c>
      <c r="G96" s="41">
        <f>F96+E96</f>
        <v>4.5318399999999999</v>
      </c>
      <c r="H96" s="36"/>
      <c r="I96" s="36"/>
      <c r="J96" s="41"/>
      <c r="K96" s="41"/>
      <c r="L96" s="41"/>
      <c r="M96" s="41"/>
      <c r="N96" s="36"/>
      <c r="O96" s="36"/>
      <c r="P96" s="36"/>
      <c r="Q96" s="36"/>
      <c r="R96" s="36"/>
    </row>
    <row r="97" spans="1:18" x14ac:dyDescent="0.25">
      <c r="A97" s="467" t="s">
        <v>535</v>
      </c>
      <c r="B97" s="85">
        <v>123</v>
      </c>
      <c r="C97" s="41">
        <f>ROUND('Biomass Data Assumptions'!$B$60/1000*B97,0)</f>
        <v>123</v>
      </c>
      <c r="D97" s="41">
        <f>'Biomass Data Assumptions'!$C$60*C97</f>
        <v>4130340</v>
      </c>
      <c r="E97" s="41">
        <f>('Biomass Data Assumptions'!$D$60*'Energy Content Assumptions'!$C$44*D97)/2000</f>
        <v>49.564080000000004</v>
      </c>
      <c r="F97" s="41">
        <f>('Biomass Data Assumptions'!$E$60*B97*365)/2000</f>
        <v>89.79</v>
      </c>
      <c r="G97" s="41">
        <f>F97+E97</f>
        <v>139.35408000000001</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1</v>
      </c>
      <c r="C100" s="41">
        <f>ROUND('Biomass Data Assumptions'!B62/1000*B100,0)</f>
        <v>0</v>
      </c>
      <c r="D100" s="41">
        <f>'Biomass Data Assumptions'!C62*C100</f>
        <v>0</v>
      </c>
      <c r="E100" s="41">
        <f>('Biomass Data Assumptions'!D62*'Energy Content Assumptions'!C46*D100)/2000</f>
        <v>0</v>
      </c>
      <c r="F100" s="41">
        <f>('Biomass Data Assumptions'!E62*B100*365)/2000</f>
        <v>0.91249999999999998</v>
      </c>
      <c r="G100" s="41">
        <f>F100+E100</f>
        <v>0.91249999999999998</v>
      </c>
      <c r="H100" s="36"/>
      <c r="I100" s="36"/>
      <c r="J100" s="41"/>
      <c r="K100" s="41"/>
      <c r="L100" s="41"/>
      <c r="M100" s="41"/>
      <c r="N100" s="36"/>
      <c r="O100" s="36"/>
      <c r="P100" s="36"/>
      <c r="Q100" s="36"/>
      <c r="R100" s="36"/>
    </row>
    <row r="101" spans="1:18" hidden="1" x14ac:dyDescent="0.25">
      <c r="A101" s="45" t="s">
        <v>541</v>
      </c>
      <c r="B101" s="85">
        <v>0</v>
      </c>
      <c r="C101" s="41">
        <f>ROUND('Biomass Data Assumptions'!B63/1000*B101,0)</f>
        <v>0</v>
      </c>
      <c r="D101" s="41">
        <f>'Biomass Data Assumptions'!C63*C101</f>
        <v>0</v>
      </c>
      <c r="E101" s="41">
        <f>('Biomass Data Assumptions'!D63*'Energy Content Assumptions'!C47*D101)/2000</f>
        <v>0</v>
      </c>
      <c r="F101" s="41">
        <f>('Biomass Data Assumptions'!E63*B101*365)/2000</f>
        <v>0</v>
      </c>
      <c r="G101" s="41">
        <f>F101+E101</f>
        <v>0</v>
      </c>
      <c r="H101" s="36"/>
      <c r="I101" s="36"/>
      <c r="J101" s="41"/>
      <c r="K101" s="41"/>
      <c r="L101" s="41"/>
      <c r="M101" s="41"/>
      <c r="N101" s="36"/>
      <c r="O101" s="36"/>
      <c r="P101" s="36"/>
      <c r="Q101" s="36"/>
      <c r="R101" s="36"/>
    </row>
    <row r="102" spans="1:18" x14ac:dyDescent="0.25">
      <c r="A102" s="460" t="s">
        <v>604</v>
      </c>
      <c r="B102" s="85">
        <v>8</v>
      </c>
      <c r="C102" s="41">
        <f>ROUND('Biomass Data Assumptions'!B64/1000*B102,0)</f>
        <v>11</v>
      </c>
      <c r="D102" s="41">
        <f>'Biomass Data Assumptions'!C64*C102</f>
        <v>445665</v>
      </c>
      <c r="E102" s="41">
        <f>('Biomass Data Assumptions'!D64*'Energy Content Assumptions'!C48*D102)/2000</f>
        <v>20.054925000000001</v>
      </c>
      <c r="F102" s="41">
        <f>'Biomass Data Assumptions'!E64*B102*365/2000</f>
        <v>14.6</v>
      </c>
      <c r="G102" s="41">
        <f>F102+E102</f>
        <v>34.654924999999999</v>
      </c>
      <c r="H102" s="36"/>
      <c r="I102" s="36"/>
      <c r="J102" s="41"/>
      <c r="K102" s="41"/>
      <c r="L102" s="41"/>
      <c r="M102" s="41"/>
      <c r="N102" s="36"/>
      <c r="O102" s="36"/>
      <c r="P102" s="36"/>
      <c r="Q102" s="36"/>
      <c r="R102" s="36"/>
    </row>
    <row r="103" spans="1:18" hidden="1" x14ac:dyDescent="0.25">
      <c r="A103" s="45" t="s">
        <v>543</v>
      </c>
      <c r="B103" s="85">
        <v>0</v>
      </c>
      <c r="C103" s="41">
        <f>ROUND('Biomass Data Assumptions'!B65/1000*B103,0)</f>
        <v>0</v>
      </c>
      <c r="D103" s="41">
        <f>'Biomass Data Assumptions'!C65*C103</f>
        <v>0</v>
      </c>
      <c r="E103" s="41">
        <f>('Biomass Data Assumptions'!D65*'Energy Content Assumptions'!C49*D103)/2000</f>
        <v>0</v>
      </c>
      <c r="F103" s="41">
        <f>'Biomass Data Assumptions'!E65*B103*365/2000</f>
        <v>0</v>
      </c>
      <c r="G103" s="41">
        <f>F103+E103</f>
        <v>0</v>
      </c>
      <c r="H103" s="36"/>
      <c r="I103" s="36"/>
      <c r="J103" s="41"/>
      <c r="K103" s="41"/>
      <c r="L103" s="41"/>
      <c r="M103" s="41"/>
      <c r="N103" s="36"/>
      <c r="O103" s="36"/>
      <c r="P103" s="36"/>
      <c r="Q103" s="36"/>
      <c r="R103" s="36"/>
    </row>
    <row r="104" spans="1:18" x14ac:dyDescent="0.25">
      <c r="A104" s="46" t="s">
        <v>544</v>
      </c>
      <c r="B104" s="85">
        <f>B100+B102</f>
        <v>9</v>
      </c>
      <c r="C104" s="41">
        <f>C100+C102</f>
        <v>11</v>
      </c>
      <c r="D104" s="41">
        <f t="shared" ref="D104:G104" si="14">D100+D102</f>
        <v>445665</v>
      </c>
      <c r="E104" s="41">
        <f t="shared" si="14"/>
        <v>20.054925000000001</v>
      </c>
      <c r="F104" s="41">
        <f t="shared" si="14"/>
        <v>15.512499999999999</v>
      </c>
      <c r="G104" s="41">
        <f t="shared" si="14"/>
        <v>35.567425</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536</v>
      </c>
      <c r="C106" s="41">
        <f>ROUND('Biomass Data Assumptions'!B66/1000*B106,0)</f>
        <v>536</v>
      </c>
      <c r="D106" s="41">
        <f>'Biomass Data Assumptions'!C66*C106</f>
        <v>10858020</v>
      </c>
      <c r="E106" s="41">
        <f>('Biomass Data Assumptions'!D66*'Energy Content Assumptions'!C50*D106)/2000</f>
        <v>380.03070000000002</v>
      </c>
      <c r="F106" s="41">
        <f>'Biomass Data Assumptions'!E66*B106*365/2000</f>
        <v>1467.3</v>
      </c>
      <c r="G106" s="41">
        <f>F106+E106</f>
        <v>1847.3307</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138</v>
      </c>
      <c r="C108" s="41">
        <f>ROUND('Biomass Data Assumptions'!B67/1000*B108,0)</f>
        <v>14</v>
      </c>
      <c r="D108" s="41">
        <f>'Biomass Data Assumptions'!C67*C108</f>
        <v>209510</v>
      </c>
      <c r="E108" s="41">
        <f>('Biomass Data Assumptions'!D67*'Energy Content Assumptions'!C51*D108)/2000</f>
        <v>5.2377500000000001</v>
      </c>
      <c r="F108" s="41">
        <f>'Biomass Data Assumptions'!E67*B108*365/2000</f>
        <v>25.184999999999999</v>
      </c>
      <c r="G108" s="41">
        <f>F108+E108</f>
        <v>30.422750000000001</v>
      </c>
      <c r="H108" s="36"/>
      <c r="I108" s="36"/>
      <c r="J108" s="41"/>
      <c r="K108" s="41"/>
      <c r="L108" s="41"/>
      <c r="M108" s="41"/>
      <c r="N108" s="36"/>
      <c r="O108" s="36"/>
      <c r="P108" s="36"/>
      <c r="Q108" s="36"/>
      <c r="R108" s="36"/>
    </row>
    <row r="109" spans="1:18" x14ac:dyDescent="0.25">
      <c r="A109" s="43"/>
      <c r="B109" s="41"/>
      <c r="C109" s="41"/>
      <c r="D109" s="41"/>
      <c r="E109" s="41"/>
      <c r="F109" s="41"/>
      <c r="G109" s="41"/>
      <c r="H109" s="457"/>
      <c r="I109" s="36"/>
      <c r="J109" s="41"/>
      <c r="K109" s="41"/>
      <c r="L109" s="41"/>
      <c r="M109" s="41"/>
      <c r="N109" s="36"/>
      <c r="O109" s="36"/>
      <c r="P109" s="36"/>
      <c r="Q109" s="36"/>
      <c r="R109" s="36"/>
    </row>
    <row r="110" spans="1:18" x14ac:dyDescent="0.25">
      <c r="A110" s="43" t="s">
        <v>547</v>
      </c>
      <c r="B110" s="85">
        <v>85</v>
      </c>
      <c r="C110" s="41">
        <f>ROUND('Biomass Data Assumptions'!B68/1000*B110,0)</f>
        <v>9</v>
      </c>
      <c r="D110" s="41">
        <f>'Biomass Data Assumptions'!C68*C110</f>
        <v>134685</v>
      </c>
      <c r="E110" s="41">
        <f>('Biomass Data Assumptions'!D68*'Energy Content Assumptions'!C52*D110)/2000</f>
        <v>3.3671250000000001</v>
      </c>
      <c r="F110" s="41">
        <f>'Biomass Data Assumptions'!E68*B110*365/2000</f>
        <v>15.512499999999999</v>
      </c>
      <c r="G110" s="41">
        <f>F110+E110</f>
        <v>18.879625000000001</v>
      </c>
      <c r="H110" s="150" t="s">
        <v>606</v>
      </c>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36</v>
      </c>
      <c r="C115" s="41">
        <f>ROUND('Biomass Data Assumptions'!$B$71/1000*B115,0)</f>
        <v>14</v>
      </c>
      <c r="D115" s="41">
        <f>'Biomass Data Assumptions'!$C$71*C115</f>
        <v>240170</v>
      </c>
      <c r="E115" s="41">
        <f>('Biomass Data Assumptions'!$D$71*'Energy Content Assumptions'!$C$55*D115)/2000</f>
        <v>6.0042499999999999</v>
      </c>
      <c r="F115" s="41">
        <f>'Biomass Data Assumptions'!$E$71*B115*365/2000</f>
        <v>0</v>
      </c>
      <c r="G115" s="41">
        <f>F115+E115</f>
        <v>6.0042499999999999</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100+471+769</f>
        <v>1340</v>
      </c>
      <c r="C117" s="41">
        <f>ROUND('Biomass Data Assumptions'!B72/1000*B117,0)</f>
        <v>7</v>
      </c>
      <c r="D117" s="41">
        <f>'Biomass Data Assumptions'!C72*C117</f>
        <v>127750</v>
      </c>
      <c r="E117" s="41">
        <f>('Biomass Data Assumptions'!D72*'Energy Content Assumptions'!C56*D117)/2000</f>
        <v>12.455625</v>
      </c>
      <c r="F117" s="41">
        <f>'Biomass Data Assumptions'!E72*B117*365/2000</f>
        <v>0</v>
      </c>
      <c r="G117" s="41">
        <f>F117+E117</f>
        <v>12.455625</v>
      </c>
      <c r="H117" s="36"/>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55</v>
      </c>
      <c r="C119" s="41">
        <f>ROUND('Biomass Data Assumptions'!B73/1000*B119,0)</f>
        <v>1</v>
      </c>
      <c r="D119" s="41">
        <f>'Biomass Data Assumptions'!C73*C119</f>
        <v>13505</v>
      </c>
      <c r="E119" s="41">
        <f>('Biomass Data Assumptions'!D73*'Energy Content Assumptions'!C57*D119)/2000</f>
        <v>1.26609375</v>
      </c>
      <c r="F119" s="41">
        <f>'Biomass Data Assumptions'!E73*B119*365/2000</f>
        <v>1.0037499999999999</v>
      </c>
      <c r="G119" s="41">
        <f>F119+E119</f>
        <v>2.2698437499999997</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5">B97+B104+B106+B108+B110+B115+B117+B119</f>
        <v>2322</v>
      </c>
      <c r="C121" s="48">
        <f t="shared" si="15"/>
        <v>715</v>
      </c>
      <c r="D121" s="48">
        <f t="shared" si="15"/>
        <v>16159645</v>
      </c>
      <c r="E121" s="48">
        <f t="shared" si="15"/>
        <v>477.98054875000003</v>
      </c>
      <c r="F121" s="48">
        <f t="shared" si="15"/>
        <v>1614.30375</v>
      </c>
      <c r="G121" s="48">
        <f t="shared" si="15"/>
        <v>2092.2842987499998</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150" t="s">
        <v>1012</v>
      </c>
      <c r="E123" s="36"/>
      <c r="F123" s="36"/>
      <c r="G123" s="36"/>
      <c r="H123" s="36"/>
      <c r="I123" s="36"/>
      <c r="J123" s="36"/>
      <c r="K123" s="36"/>
      <c r="L123" s="36"/>
      <c r="M123" s="36"/>
      <c r="N123" s="36"/>
      <c r="O123" s="36"/>
      <c r="P123" s="36"/>
      <c r="Q123" s="36"/>
      <c r="R123" s="36"/>
    </row>
    <row r="124" spans="1:18" x14ac:dyDescent="0.25">
      <c r="A124" s="50" t="s">
        <v>555</v>
      </c>
      <c r="B124" s="87">
        <v>18481.259999999998</v>
      </c>
      <c r="C124" s="543">
        <f>B124*'Energy Content Assumptions'!C33</f>
        <v>16633.133999999998</v>
      </c>
      <c r="D124" s="36"/>
      <c r="E124" s="36"/>
      <c r="F124" s="36"/>
      <c r="G124" s="36"/>
      <c r="H124" s="36"/>
      <c r="I124" s="36"/>
      <c r="J124" s="36"/>
      <c r="K124" s="36"/>
      <c r="L124" s="36"/>
      <c r="M124" s="36"/>
      <c r="N124" s="36"/>
      <c r="O124" s="36"/>
      <c r="P124" s="36"/>
      <c r="Q124" s="36"/>
      <c r="R124" s="36"/>
    </row>
    <row r="125" spans="1:18" x14ac:dyDescent="0.25">
      <c r="A125" s="50" t="s">
        <v>556</v>
      </c>
      <c r="B125" s="87">
        <v>3978.49</v>
      </c>
      <c r="C125" s="543">
        <f>B125*'Energy Content Assumptions'!C34</f>
        <v>3580.6410000000001</v>
      </c>
      <c r="D125" s="36"/>
      <c r="E125" s="36"/>
      <c r="F125" s="36"/>
      <c r="G125" s="36"/>
      <c r="H125" s="36"/>
      <c r="I125" s="36"/>
      <c r="J125" s="36"/>
      <c r="K125" s="36"/>
      <c r="L125" s="36"/>
      <c r="M125" s="36"/>
      <c r="N125" s="36"/>
      <c r="O125" s="36"/>
      <c r="P125" s="36"/>
      <c r="Q125" s="36"/>
      <c r="R125" s="36"/>
    </row>
    <row r="126" spans="1:18" x14ac:dyDescent="0.25">
      <c r="A126" s="50" t="s">
        <v>557</v>
      </c>
      <c r="B126" s="87">
        <v>9294.98</v>
      </c>
      <c r="C126" s="543">
        <f>B126*'Energy Content Assumptions'!C35</f>
        <v>8365.482</v>
      </c>
      <c r="D126" s="36"/>
      <c r="E126" s="36"/>
      <c r="F126" s="36"/>
      <c r="G126" s="36"/>
      <c r="H126" s="36"/>
      <c r="I126" s="36"/>
      <c r="J126" s="36"/>
      <c r="K126" s="36"/>
      <c r="L126" s="36"/>
      <c r="M126" s="36"/>
      <c r="N126" s="36"/>
      <c r="O126" s="36"/>
      <c r="P126" s="36"/>
      <c r="Q126" s="36"/>
      <c r="R126" s="36"/>
    </row>
    <row r="127" spans="1:18" x14ac:dyDescent="0.25">
      <c r="A127" s="50" t="s">
        <v>558</v>
      </c>
      <c r="B127" s="87">
        <v>7765.1</v>
      </c>
      <c r="C127" s="543">
        <f>B127*'Energy Content Assumptions'!C36</f>
        <v>6988.59</v>
      </c>
      <c r="D127" s="36"/>
      <c r="E127" s="36"/>
      <c r="F127" s="36"/>
      <c r="G127" s="36"/>
      <c r="H127" s="36"/>
      <c r="I127" s="36"/>
      <c r="J127" s="36"/>
      <c r="K127" s="36"/>
      <c r="L127" s="36"/>
      <c r="M127" s="36"/>
      <c r="N127" s="36"/>
      <c r="O127" s="36"/>
      <c r="P127" s="36"/>
      <c r="Q127" s="36"/>
      <c r="R127" s="36"/>
    </row>
    <row r="128" spans="1:18" x14ac:dyDescent="0.25">
      <c r="A128" s="50" t="s">
        <v>559</v>
      </c>
      <c r="B128" s="87">
        <v>12649.2</v>
      </c>
      <c r="C128" s="543">
        <f>B128*'Energy Content Assumptions'!C21</f>
        <v>6324.6</v>
      </c>
      <c r="D128" s="36"/>
      <c r="E128" s="36"/>
      <c r="F128" s="36"/>
      <c r="G128" s="36"/>
      <c r="H128" s="36"/>
      <c r="I128" s="36"/>
      <c r="J128" s="36"/>
      <c r="K128" s="36"/>
      <c r="L128" s="36"/>
      <c r="M128" s="36"/>
      <c r="N128" s="36"/>
      <c r="O128" s="36"/>
      <c r="P128" s="36"/>
      <c r="Q128" s="36"/>
      <c r="R128" s="36"/>
    </row>
    <row r="129" spans="1:18" x14ac:dyDescent="0.25">
      <c r="A129" s="50" t="s">
        <v>560</v>
      </c>
      <c r="B129" s="87">
        <v>9345.91</v>
      </c>
      <c r="C129" s="543">
        <f>B129*'Energy Content Assumptions'!C22</f>
        <v>3115.3033333333333</v>
      </c>
      <c r="D129" s="36"/>
      <c r="E129" s="36"/>
      <c r="F129" s="36"/>
      <c r="G129" s="36"/>
      <c r="H129" s="36"/>
      <c r="I129" s="36"/>
      <c r="J129" s="36"/>
      <c r="K129" s="36"/>
      <c r="L129" s="36"/>
      <c r="M129" s="36"/>
      <c r="N129" s="36"/>
      <c r="O129" s="36"/>
      <c r="P129" s="36"/>
      <c r="Q129" s="36"/>
      <c r="R129" s="36"/>
    </row>
    <row r="130" spans="1:18" x14ac:dyDescent="0.25">
      <c r="A130" s="50" t="s">
        <v>561</v>
      </c>
      <c r="B130" s="87">
        <v>33804.06</v>
      </c>
      <c r="C130" s="543">
        <f>B130*'Energy Content Assumptions'!C23</f>
        <v>11268.019999999999</v>
      </c>
      <c r="D130" s="36"/>
      <c r="E130" s="36"/>
      <c r="F130" s="36"/>
      <c r="G130" s="36"/>
      <c r="H130" s="36"/>
      <c r="I130" s="36"/>
      <c r="J130" s="36"/>
      <c r="K130" s="36"/>
      <c r="L130" s="36"/>
      <c r="M130" s="36"/>
      <c r="N130" s="36"/>
      <c r="O130" s="36"/>
      <c r="P130" s="36"/>
      <c r="Q130" s="36"/>
      <c r="R130" s="36"/>
    </row>
    <row r="131" spans="1:18" x14ac:dyDescent="0.25">
      <c r="A131" s="50" t="s">
        <v>562</v>
      </c>
      <c r="B131" s="87">
        <v>1213.5999999999999</v>
      </c>
      <c r="C131" s="543">
        <f>B131*'Energy Content Assumptions'!C24</f>
        <v>606.79999999999995</v>
      </c>
      <c r="D131" s="36"/>
      <c r="E131" s="36"/>
      <c r="F131" s="36"/>
      <c r="G131" s="36"/>
      <c r="H131" s="36"/>
      <c r="I131" s="36"/>
      <c r="J131" s="36"/>
      <c r="K131" s="36"/>
      <c r="L131" s="36"/>
      <c r="M131" s="36"/>
      <c r="N131" s="36"/>
      <c r="O131" s="36"/>
      <c r="P131" s="36"/>
      <c r="Q131" s="36"/>
      <c r="R131" s="36"/>
    </row>
    <row r="132" spans="1:18" x14ac:dyDescent="0.25">
      <c r="A132" s="50" t="s">
        <v>563</v>
      </c>
      <c r="B132" s="87">
        <v>4167.79</v>
      </c>
      <c r="C132" s="543">
        <f>B132*'Energy Content Assumptions'!C31</f>
        <v>1041.9475</v>
      </c>
      <c r="D132" s="36"/>
      <c r="E132" s="36"/>
      <c r="F132" s="36"/>
      <c r="G132" s="36"/>
      <c r="H132" s="36"/>
      <c r="I132" s="36"/>
      <c r="J132" s="36"/>
      <c r="K132" s="36"/>
      <c r="L132" s="36"/>
      <c r="M132" s="36"/>
      <c r="N132" s="36"/>
      <c r="O132" s="36"/>
      <c r="P132" s="36"/>
      <c r="Q132" s="36"/>
      <c r="R132" s="36"/>
    </row>
    <row r="133" spans="1:18" x14ac:dyDescent="0.25">
      <c r="A133" s="50" t="s">
        <v>564</v>
      </c>
      <c r="B133" s="87">
        <v>256.13</v>
      </c>
      <c r="C133" s="543">
        <f>B133*'Energy Content Assumptions'!C19</f>
        <v>230.517</v>
      </c>
      <c r="D133" s="36"/>
      <c r="E133" s="36"/>
      <c r="F133" s="36"/>
      <c r="G133" s="36"/>
      <c r="H133" s="36"/>
      <c r="I133" s="36"/>
      <c r="J133" s="36"/>
      <c r="K133" s="36"/>
      <c r="L133" s="36"/>
      <c r="M133" s="36"/>
      <c r="N133" s="36"/>
      <c r="O133" s="36"/>
      <c r="P133" s="36"/>
      <c r="Q133" s="36"/>
      <c r="R133" s="36"/>
    </row>
    <row r="134" spans="1:18" x14ac:dyDescent="0.25">
      <c r="A134" s="50" t="s">
        <v>565</v>
      </c>
      <c r="B134" s="87">
        <v>1671.01</v>
      </c>
      <c r="C134" s="543">
        <f>B134*'Energy Content Assumptions'!C32</f>
        <v>1336.808</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Assumptions'!$M$7</f>
        <v>359563.09</v>
      </c>
      <c r="C137" s="544"/>
      <c r="D137" s="150"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Assumptions'!$F$7</f>
        <v>241823.54</v>
      </c>
      <c r="C138" s="543">
        <f>B138*'Energy Content Assumptions'!$C$28</f>
        <v>120911.77</v>
      </c>
      <c r="D138" s="150" t="s">
        <v>1016</v>
      </c>
      <c r="E138" s="36"/>
      <c r="F138" s="36"/>
      <c r="G138" s="36"/>
      <c r="H138" s="36"/>
      <c r="I138" s="36"/>
      <c r="J138" s="36"/>
      <c r="K138" s="36"/>
      <c r="L138" s="36"/>
      <c r="M138" s="36"/>
      <c r="N138" s="36"/>
      <c r="O138" s="36"/>
      <c r="P138" s="36"/>
      <c r="Q138" s="36"/>
      <c r="R138" s="36"/>
    </row>
    <row r="139" spans="1:18" x14ac:dyDescent="0.25">
      <c r="A139" s="50" t="s">
        <v>209</v>
      </c>
      <c r="B139" s="549">
        <f>'Biomass Data Assumptions'!$H$7</f>
        <v>4265.8999999999996</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549">
        <f>'Biomass Data Assumptions'!$I$7</f>
        <v>237557.64</v>
      </c>
      <c r="C140" s="543">
        <f>B140*'Energy Content Assumptions'!$C$28</f>
        <v>118778.82</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549">
        <f>IF('Bioenergy Calculator'!H75="No",'Biomass Data Assumptions'!J7,'Biomass Data Assumptions'!F7*'Biomass Data Assumptions'!I41)</f>
        <v>37581.618648000003</v>
      </c>
      <c r="C141" s="543">
        <f>B141*'Energy Content Assumptions'!C26</f>
        <v>11274.485594400001</v>
      </c>
      <c r="D141" s="468" t="s">
        <v>1063</v>
      </c>
      <c r="E141" s="457"/>
      <c r="F141" s="457"/>
      <c r="G141" s="457"/>
      <c r="H141" s="457"/>
      <c r="I141" s="457"/>
      <c r="J141" s="457"/>
      <c r="K141" s="457"/>
      <c r="L141" s="457"/>
      <c r="M141" s="457"/>
      <c r="N141" s="457"/>
      <c r="O141" s="457"/>
      <c r="P141" s="36"/>
      <c r="Q141" s="36"/>
      <c r="R141" s="36"/>
    </row>
    <row r="142" spans="1:18" x14ac:dyDescent="0.25">
      <c r="A142" s="50" t="str">
        <f>'Bioenergy Calculator'!B36</f>
        <v>Waste paper, Landfilled</v>
      </c>
      <c r="B142" s="549">
        <f>IF('Bioenergy Calculator'!H75="No",'Biomass Data Assumptions'!K7,'Biomass Data Assumptions'!F7*'Biomass Data Assumptions'!I42)</f>
        <v>46204.960980000003</v>
      </c>
      <c r="C142" s="543">
        <f>B142*'Energy Content Assumptions'!C27</f>
        <v>41584.464882000007</v>
      </c>
      <c r="D142" s="468" t="s">
        <v>1063</v>
      </c>
      <c r="E142" s="457"/>
      <c r="F142" s="457"/>
      <c r="G142" s="457"/>
      <c r="H142" s="457"/>
      <c r="I142" s="457"/>
      <c r="J142" s="457"/>
      <c r="K142" s="457"/>
      <c r="L142" s="457"/>
      <c r="M142" s="457"/>
      <c r="N142" s="457"/>
      <c r="O142" s="457"/>
      <c r="P142" s="36"/>
      <c r="Q142" s="36"/>
      <c r="R142" s="36"/>
    </row>
    <row r="143" spans="1:18" x14ac:dyDescent="0.25">
      <c r="A143" s="50" t="str">
        <f>'Bioenergy Calculator'!B37</f>
        <v>Other Biomass, Landfilled</v>
      </c>
      <c r="B143" s="549">
        <f>IF('Bioenergy Calculator'!H75="No",'Biomass Data Assumptions'!L7,'Biomass Data Assumptions'!F7*'Biomass Data Assumptions'!I43)</f>
        <v>63974.272451999997</v>
      </c>
      <c r="C143" s="543">
        <f>B143*'Energy Content Assumptions'!C28</f>
        <v>31987.136225999999</v>
      </c>
      <c r="D143" s="468" t="s">
        <v>1064</v>
      </c>
      <c r="E143" s="457"/>
      <c r="F143" s="457"/>
      <c r="G143" s="457"/>
      <c r="H143" s="457"/>
      <c r="I143" s="457"/>
      <c r="J143" s="457"/>
      <c r="K143" s="457"/>
      <c r="L143" s="457"/>
      <c r="M143" s="457"/>
      <c r="N143" s="457"/>
      <c r="O143" s="457"/>
      <c r="P143" s="457"/>
      <c r="Q143" s="36"/>
      <c r="R143" s="36"/>
    </row>
    <row r="144" spans="1:18" x14ac:dyDescent="0.25">
      <c r="A144" s="50" t="s">
        <v>463</v>
      </c>
      <c r="B144" s="549">
        <v>65450.57</v>
      </c>
      <c r="C144" s="543">
        <f>B144*'Energy Content Assumptions'!C29</f>
        <v>52360.456000000006</v>
      </c>
      <c r="D144" s="151" t="s">
        <v>206</v>
      </c>
      <c r="E144" s="36"/>
      <c r="F144" s="36"/>
      <c r="G144" s="36"/>
      <c r="H144" s="36"/>
      <c r="I144" s="36"/>
      <c r="J144" s="36"/>
      <c r="K144" s="36"/>
      <c r="L144" s="36"/>
      <c r="M144" s="36"/>
      <c r="N144" s="36"/>
      <c r="O144" s="36"/>
      <c r="P144" s="36"/>
      <c r="Q144" s="36"/>
      <c r="R144" s="36"/>
    </row>
    <row r="145" spans="1:18" x14ac:dyDescent="0.25">
      <c r="A145" s="709" t="s">
        <v>179</v>
      </c>
      <c r="B145" s="717">
        <v>0.4</v>
      </c>
      <c r="C145" s="543">
        <f>C144*B145</f>
        <v>20944.182400000005</v>
      </c>
      <c r="D145" s="150"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Assumptions'!R7/2000</f>
        <v>1208.0156000000002</v>
      </c>
      <c r="C148" s="1239">
        <f>B148*'Energy Content Assumptions'!C39</f>
        <v>1026.8132600000001</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Assumptions'!S7/2000</f>
        <v>1835.3600649999998</v>
      </c>
      <c r="C149" s="1239">
        <f>B149*'Energy Content Assumptions'!C40</f>
        <v>91.768003249999992</v>
      </c>
      <c r="D149" s="150" t="s">
        <v>1570</v>
      </c>
      <c r="E149" s="36"/>
      <c r="F149" s="36"/>
      <c r="G149" s="36"/>
      <c r="H149" s="36"/>
      <c r="I149" s="36"/>
      <c r="J149" s="36"/>
      <c r="K149" s="36"/>
      <c r="L149" s="36"/>
      <c r="M149" s="36"/>
      <c r="N149" s="36"/>
      <c r="O149" s="36"/>
      <c r="P149" s="36"/>
      <c r="Q149" s="36"/>
      <c r="R149" s="36"/>
    </row>
    <row r="150" spans="1:18" x14ac:dyDescent="0.25">
      <c r="A150" s="1234"/>
      <c r="B150" s="1235"/>
      <c r="C150" s="543"/>
      <c r="D150" s="150"/>
      <c r="E150" s="36"/>
      <c r="F150" s="36"/>
      <c r="G150" s="36"/>
      <c r="H150" s="36"/>
      <c r="I150" s="36"/>
      <c r="J150" s="36"/>
      <c r="K150" s="36"/>
      <c r="L150" s="36"/>
      <c r="M150" s="36"/>
      <c r="N150" s="36"/>
      <c r="O150" s="36"/>
      <c r="P150" s="36"/>
      <c r="Q150" s="36"/>
      <c r="R150" s="36"/>
    </row>
    <row r="151" spans="1:18" x14ac:dyDescent="0.25">
      <c r="A151" s="36" t="s">
        <v>20</v>
      </c>
      <c r="B151" s="36"/>
      <c r="C151" s="36"/>
      <c r="D151" s="36"/>
      <c r="E151" s="36"/>
      <c r="F151" s="36"/>
      <c r="G151" s="36"/>
      <c r="H151" s="36"/>
      <c r="I151" s="36"/>
      <c r="J151" s="36"/>
      <c r="K151" s="36"/>
      <c r="L151" s="36"/>
      <c r="M151" s="36"/>
      <c r="N151" s="36"/>
      <c r="O151" s="36"/>
      <c r="P151" s="36"/>
      <c r="Q151" s="36"/>
      <c r="R151" s="36"/>
    </row>
    <row r="152" spans="1:18" ht="26.4" x14ac:dyDescent="0.25">
      <c r="A152" s="37" t="s">
        <v>481</v>
      </c>
      <c r="B152" s="37" t="s">
        <v>482</v>
      </c>
      <c r="C152" s="37" t="s">
        <v>483</v>
      </c>
      <c r="D152" s="37" t="s">
        <v>484</v>
      </c>
      <c r="E152" s="37" t="s">
        <v>485</v>
      </c>
      <c r="F152" s="37" t="s">
        <v>486</v>
      </c>
      <c r="G152" s="37" t="s">
        <v>487</v>
      </c>
      <c r="H152" s="37" t="s">
        <v>488</v>
      </c>
      <c r="I152" s="36"/>
      <c r="J152" s="36"/>
      <c r="K152" s="36"/>
      <c r="L152" s="36"/>
      <c r="M152" s="36"/>
      <c r="N152" s="36"/>
      <c r="O152" s="36"/>
      <c r="P152" s="36"/>
      <c r="Q152" s="36"/>
      <c r="R152" s="36"/>
    </row>
    <row r="153" spans="1:18" x14ac:dyDescent="0.25">
      <c r="A153" s="61" t="s">
        <v>489</v>
      </c>
      <c r="B153" s="61" t="s">
        <v>490</v>
      </c>
      <c r="C153" s="61">
        <v>213</v>
      </c>
      <c r="D153" s="61">
        <v>0</v>
      </c>
      <c r="E153" s="61">
        <v>2</v>
      </c>
      <c r="F153" s="61">
        <v>1</v>
      </c>
      <c r="G153" s="61"/>
      <c r="H153" s="61">
        <f t="shared" ref="H153:H195" si="16">12*((D153*20)+(E153*12)+(F153*4))</f>
        <v>336</v>
      </c>
      <c r="I153" s="38"/>
      <c r="J153" s="36"/>
      <c r="K153" s="36"/>
      <c r="L153" s="36"/>
      <c r="M153" s="36"/>
      <c r="N153" s="36"/>
      <c r="O153" s="36"/>
      <c r="P153" s="36"/>
      <c r="Q153" s="36"/>
      <c r="R153" s="36"/>
    </row>
    <row r="154" spans="1:18" x14ac:dyDescent="0.25">
      <c r="A154" s="61" t="s">
        <v>491</v>
      </c>
      <c r="B154" s="61" t="s">
        <v>492</v>
      </c>
      <c r="C154" s="61">
        <v>205</v>
      </c>
      <c r="D154" s="61">
        <v>0</v>
      </c>
      <c r="E154" s="61">
        <v>0</v>
      </c>
      <c r="F154" s="61">
        <v>0</v>
      </c>
      <c r="G154" s="61">
        <f>120+95+95</f>
        <v>310</v>
      </c>
      <c r="H154" s="61">
        <f t="shared" si="16"/>
        <v>0</v>
      </c>
      <c r="I154" s="36"/>
      <c r="J154" s="36"/>
      <c r="K154" s="36"/>
      <c r="L154" s="36"/>
      <c r="M154" s="36"/>
      <c r="N154" s="36"/>
      <c r="O154" s="36"/>
      <c r="P154" s="36"/>
      <c r="Q154" s="36"/>
      <c r="R154" s="36"/>
    </row>
    <row r="155" spans="1:18" x14ac:dyDescent="0.25">
      <c r="A155" s="61" t="s">
        <v>493</v>
      </c>
      <c r="B155" s="61" t="s">
        <v>494</v>
      </c>
      <c r="C155" s="61">
        <v>115</v>
      </c>
      <c r="D155" s="61">
        <v>0</v>
      </c>
      <c r="E155" s="61">
        <v>1</v>
      </c>
      <c r="F155" s="61">
        <v>0</v>
      </c>
      <c r="G155" s="61">
        <v>24</v>
      </c>
      <c r="H155" s="61">
        <f t="shared" si="16"/>
        <v>144</v>
      </c>
      <c r="I155" s="36"/>
      <c r="J155" s="36"/>
      <c r="K155" s="36"/>
      <c r="L155" s="36"/>
      <c r="M155" s="36"/>
      <c r="N155" s="36"/>
      <c r="O155" s="36"/>
      <c r="P155" s="36"/>
      <c r="Q155" s="36"/>
      <c r="R155" s="36"/>
    </row>
    <row r="156" spans="1:18" x14ac:dyDescent="0.25">
      <c r="A156" s="61" t="s">
        <v>495</v>
      </c>
      <c r="B156" s="61" t="s">
        <v>492</v>
      </c>
      <c r="C156" s="61">
        <v>129</v>
      </c>
      <c r="D156" s="61">
        <v>0</v>
      </c>
      <c r="E156" s="61">
        <v>0</v>
      </c>
      <c r="F156" s="61">
        <v>0</v>
      </c>
      <c r="G156" s="61">
        <v>0</v>
      </c>
      <c r="H156" s="61">
        <f t="shared" si="16"/>
        <v>0</v>
      </c>
      <c r="I156" s="36"/>
      <c r="J156" s="36"/>
      <c r="K156" s="36"/>
      <c r="L156" s="36"/>
      <c r="M156" s="36"/>
      <c r="N156" s="36"/>
      <c r="O156" s="36"/>
      <c r="P156" s="36"/>
      <c r="Q156" s="36"/>
      <c r="R156" s="36"/>
    </row>
    <row r="157" spans="1:18" x14ac:dyDescent="0.25">
      <c r="A157" s="61" t="s">
        <v>496</v>
      </c>
      <c r="B157" s="61" t="s">
        <v>497</v>
      </c>
      <c r="C157" s="61">
        <v>121</v>
      </c>
      <c r="D157" s="61">
        <v>0</v>
      </c>
      <c r="E157" s="61">
        <v>1</v>
      </c>
      <c r="F157" s="61">
        <v>0</v>
      </c>
      <c r="G157" s="61">
        <v>500</v>
      </c>
      <c r="H157" s="61">
        <f t="shared" si="16"/>
        <v>144</v>
      </c>
      <c r="I157" s="36"/>
      <c r="J157" s="36"/>
      <c r="K157" s="36"/>
      <c r="L157" s="36"/>
      <c r="M157" s="36"/>
      <c r="N157" s="36"/>
      <c r="O157" s="36"/>
      <c r="P157" s="36"/>
      <c r="Q157" s="36"/>
      <c r="R157" s="36"/>
    </row>
    <row r="158" spans="1:18" x14ac:dyDescent="0.25">
      <c r="A158" s="61" t="s">
        <v>498</v>
      </c>
      <c r="B158" s="61" t="s">
        <v>499</v>
      </c>
      <c r="C158" s="61">
        <v>110</v>
      </c>
      <c r="D158" s="61">
        <v>0</v>
      </c>
      <c r="E158" s="61">
        <v>1</v>
      </c>
      <c r="F158" s="61">
        <v>1</v>
      </c>
      <c r="G158" s="61"/>
      <c r="H158" s="61">
        <f t="shared" si="16"/>
        <v>192</v>
      </c>
      <c r="I158" s="36"/>
      <c r="J158" s="36"/>
      <c r="K158" s="36"/>
      <c r="L158" s="36"/>
      <c r="M158" s="36"/>
      <c r="N158" s="36"/>
      <c r="O158" s="36"/>
      <c r="P158" s="36"/>
      <c r="Q158" s="36"/>
      <c r="R158" s="36"/>
    </row>
    <row r="159" spans="1:18" x14ac:dyDescent="0.25">
      <c r="A159" s="61" t="s">
        <v>500</v>
      </c>
      <c r="B159" s="61" t="s">
        <v>501</v>
      </c>
      <c r="C159" s="61">
        <v>95</v>
      </c>
      <c r="D159" s="61">
        <v>0</v>
      </c>
      <c r="E159" s="61">
        <v>0</v>
      </c>
      <c r="F159" s="61">
        <v>0</v>
      </c>
      <c r="G159" s="61">
        <v>50</v>
      </c>
      <c r="H159" s="61">
        <f t="shared" si="16"/>
        <v>0</v>
      </c>
      <c r="I159" s="36"/>
      <c r="J159" s="36"/>
      <c r="K159" s="36"/>
      <c r="L159" s="36"/>
      <c r="M159" s="36"/>
      <c r="N159" s="36"/>
      <c r="O159" s="36"/>
      <c r="P159" s="36"/>
      <c r="Q159" s="36"/>
      <c r="R159" s="36"/>
    </row>
    <row r="160" spans="1:18" x14ac:dyDescent="0.25">
      <c r="A160" s="61" t="s">
        <v>502</v>
      </c>
      <c r="B160" s="61" t="s">
        <v>503</v>
      </c>
      <c r="C160" s="61">
        <v>297</v>
      </c>
      <c r="D160" s="61">
        <v>0</v>
      </c>
      <c r="E160" s="61">
        <v>2</v>
      </c>
      <c r="F160" s="61">
        <v>1</v>
      </c>
      <c r="G160" s="61">
        <v>600</v>
      </c>
      <c r="H160" s="61">
        <f t="shared" si="16"/>
        <v>336</v>
      </c>
      <c r="I160" s="36"/>
      <c r="J160" s="36"/>
      <c r="K160" s="36"/>
      <c r="L160" s="36"/>
      <c r="M160" s="36"/>
      <c r="N160" s="36"/>
      <c r="O160" s="36"/>
      <c r="P160" s="36"/>
      <c r="Q160" s="36"/>
      <c r="R160" s="36"/>
    </row>
    <row r="161" spans="1:18" x14ac:dyDescent="0.25">
      <c r="A161" s="61" t="s">
        <v>371</v>
      </c>
      <c r="B161" s="61" t="s">
        <v>497</v>
      </c>
      <c r="C161" s="61">
        <v>502</v>
      </c>
      <c r="D161" s="61">
        <v>0</v>
      </c>
      <c r="E161" s="61">
        <v>3</v>
      </c>
      <c r="F161" s="61">
        <v>0</v>
      </c>
      <c r="G161" s="61">
        <f>5775+185</f>
        <v>5960</v>
      </c>
      <c r="H161" s="61">
        <f t="shared" si="16"/>
        <v>432</v>
      </c>
      <c r="I161" s="36"/>
      <c r="J161" s="36"/>
      <c r="K161" s="36"/>
      <c r="L161" s="36"/>
      <c r="M161" s="36"/>
      <c r="N161" s="36"/>
      <c r="O161" s="36"/>
      <c r="P161" s="36"/>
      <c r="Q161" s="36"/>
      <c r="R161" s="36"/>
    </row>
    <row r="162" spans="1:18" x14ac:dyDescent="0.25">
      <c r="A162" s="61"/>
      <c r="B162" s="61"/>
      <c r="C162" s="61"/>
      <c r="D162" s="61"/>
      <c r="E162" s="61"/>
      <c r="F162" s="61"/>
      <c r="G162" s="61"/>
      <c r="H162" s="61">
        <f t="shared" si="16"/>
        <v>0</v>
      </c>
      <c r="I162" s="36"/>
      <c r="J162" s="36"/>
      <c r="K162" s="36"/>
      <c r="L162" s="36"/>
      <c r="M162" s="36"/>
      <c r="N162" s="36"/>
      <c r="O162" s="36"/>
      <c r="P162" s="36"/>
      <c r="Q162" s="36"/>
      <c r="R162" s="36"/>
    </row>
    <row r="163" spans="1:18" x14ac:dyDescent="0.25">
      <c r="A163" s="61" t="s">
        <v>372</v>
      </c>
      <c r="B163" s="61" t="s">
        <v>497</v>
      </c>
      <c r="C163" s="61">
        <v>800</v>
      </c>
      <c r="D163" s="61">
        <v>5</v>
      </c>
      <c r="E163" s="61">
        <v>4</v>
      </c>
      <c r="F163" s="61">
        <v>3</v>
      </c>
      <c r="G163" s="61">
        <v>5140</v>
      </c>
      <c r="H163" s="61">
        <f t="shared" si="16"/>
        <v>1920</v>
      </c>
      <c r="I163" s="36"/>
      <c r="J163" s="36"/>
      <c r="K163" s="36"/>
      <c r="L163" s="36"/>
      <c r="M163" s="36"/>
      <c r="N163" s="36"/>
      <c r="O163" s="36"/>
      <c r="P163" s="36"/>
      <c r="Q163" s="36"/>
      <c r="R163" s="36"/>
    </row>
    <row r="164" spans="1:18" x14ac:dyDescent="0.25">
      <c r="A164" s="61" t="s">
        <v>373</v>
      </c>
      <c r="B164" s="61" t="s">
        <v>497</v>
      </c>
      <c r="C164" s="61"/>
      <c r="D164" s="61">
        <v>7</v>
      </c>
      <c r="E164" s="61">
        <v>12</v>
      </c>
      <c r="F164" s="61">
        <v>0</v>
      </c>
      <c r="G164" s="61"/>
      <c r="H164" s="61">
        <f t="shared" si="16"/>
        <v>3408</v>
      </c>
      <c r="I164" s="36"/>
      <c r="J164" s="36"/>
      <c r="K164" s="36"/>
      <c r="L164" s="36"/>
      <c r="M164" s="36"/>
      <c r="N164" s="36"/>
      <c r="O164" s="36"/>
      <c r="P164" s="36"/>
      <c r="Q164" s="36"/>
      <c r="R164" s="36"/>
    </row>
    <row r="165" spans="1:18" x14ac:dyDescent="0.25">
      <c r="A165" s="61" t="s">
        <v>374</v>
      </c>
      <c r="B165" s="61" t="s">
        <v>497</v>
      </c>
      <c r="C165" s="61">
        <v>2000</v>
      </c>
      <c r="D165" s="61">
        <v>7</v>
      </c>
      <c r="E165" s="61">
        <v>7</v>
      </c>
      <c r="F165" s="61"/>
      <c r="G165" s="61"/>
      <c r="H165" s="61">
        <f t="shared" si="16"/>
        <v>2688</v>
      </c>
      <c r="I165" s="36"/>
      <c r="J165" s="36"/>
      <c r="K165" s="36"/>
      <c r="L165" s="36"/>
      <c r="M165" s="36"/>
      <c r="N165" s="36"/>
      <c r="O165" s="36"/>
      <c r="P165" s="36"/>
      <c r="Q165" s="36"/>
      <c r="R165" s="36"/>
    </row>
    <row r="166" spans="1:18" x14ac:dyDescent="0.25">
      <c r="A166" s="61" t="s">
        <v>375</v>
      </c>
      <c r="B166" s="61" t="s">
        <v>497</v>
      </c>
      <c r="C166" s="61"/>
      <c r="D166" s="61">
        <v>6</v>
      </c>
      <c r="E166" s="61"/>
      <c r="F166" s="61">
        <v>1</v>
      </c>
      <c r="G166" s="61"/>
      <c r="H166" s="61">
        <f t="shared" si="16"/>
        <v>1488</v>
      </c>
      <c r="I166" s="36"/>
      <c r="J166" s="36"/>
      <c r="K166" s="36"/>
      <c r="L166" s="36"/>
      <c r="M166" s="36"/>
      <c r="N166" s="36"/>
      <c r="O166" s="36"/>
      <c r="P166" s="36"/>
      <c r="Q166" s="36"/>
      <c r="R166" s="36"/>
    </row>
    <row r="167" spans="1:18" x14ac:dyDescent="0.25">
      <c r="A167" s="61" t="s">
        <v>376</v>
      </c>
      <c r="B167" s="61" t="s">
        <v>497</v>
      </c>
      <c r="C167" s="61">
        <f>479+42</f>
        <v>521</v>
      </c>
      <c r="D167" s="61">
        <v>3</v>
      </c>
      <c r="E167" s="61">
        <v>4</v>
      </c>
      <c r="F167" s="61">
        <v>2</v>
      </c>
      <c r="G167" s="61">
        <v>2125</v>
      </c>
      <c r="H167" s="61">
        <f t="shared" si="16"/>
        <v>1392</v>
      </c>
      <c r="I167" s="36"/>
      <c r="J167" s="36"/>
      <c r="K167" s="36"/>
      <c r="L167" s="36"/>
      <c r="M167" s="36"/>
      <c r="N167" s="36"/>
      <c r="O167" s="36"/>
      <c r="P167" s="36"/>
      <c r="Q167" s="36"/>
      <c r="R167" s="36"/>
    </row>
    <row r="168" spans="1:18" x14ac:dyDescent="0.25">
      <c r="A168" s="61" t="s">
        <v>377</v>
      </c>
      <c r="B168" s="61" t="s">
        <v>497</v>
      </c>
      <c r="C168" s="61">
        <v>1309</v>
      </c>
      <c r="D168" s="61">
        <v>5</v>
      </c>
      <c r="E168" s="61">
        <v>2</v>
      </c>
      <c r="F168" s="61">
        <v>1</v>
      </c>
      <c r="G168" s="61"/>
      <c r="H168" s="61">
        <f t="shared" si="16"/>
        <v>1536</v>
      </c>
      <c r="I168" s="36"/>
      <c r="J168" s="36"/>
      <c r="K168" s="36"/>
      <c r="L168" s="36"/>
      <c r="M168" s="36"/>
      <c r="N168" s="36"/>
      <c r="O168" s="36"/>
      <c r="P168" s="36"/>
      <c r="Q168" s="36"/>
      <c r="R168" s="36"/>
    </row>
    <row r="169" spans="1:18" x14ac:dyDescent="0.25">
      <c r="A169" s="61" t="s">
        <v>378</v>
      </c>
      <c r="B169" s="61" t="s">
        <v>497</v>
      </c>
      <c r="C169" s="61"/>
      <c r="D169" s="61">
        <v>7</v>
      </c>
      <c r="E169" s="61">
        <v>10</v>
      </c>
      <c r="F169" s="61">
        <v>2</v>
      </c>
      <c r="G169" s="61">
        <f>894+260+3600</f>
        <v>4754</v>
      </c>
      <c r="H169" s="61">
        <f t="shared" si="16"/>
        <v>3216</v>
      </c>
      <c r="I169" s="36"/>
      <c r="J169" s="36"/>
      <c r="K169" s="36"/>
      <c r="L169" s="36"/>
      <c r="M169" s="36"/>
      <c r="N169" s="36"/>
      <c r="O169" s="36"/>
      <c r="P169" s="36"/>
      <c r="Q169" s="36"/>
      <c r="R169" s="36"/>
    </row>
    <row r="170" spans="1:18" x14ac:dyDescent="0.25">
      <c r="A170" s="61" t="s">
        <v>379</v>
      </c>
      <c r="B170" s="61" t="s">
        <v>497</v>
      </c>
      <c r="C170" s="61">
        <f>728+60</f>
        <v>788</v>
      </c>
      <c r="D170" s="61">
        <v>4</v>
      </c>
      <c r="E170" s="61">
        <v>6</v>
      </c>
      <c r="F170" s="61">
        <v>0</v>
      </c>
      <c r="G170" s="61">
        <v>7402</v>
      </c>
      <c r="H170" s="61">
        <f t="shared" si="16"/>
        <v>1824</v>
      </c>
      <c r="I170" s="36"/>
      <c r="J170" s="36"/>
      <c r="K170" s="36"/>
      <c r="L170" s="36"/>
      <c r="M170" s="36"/>
      <c r="N170" s="36"/>
      <c r="O170" s="36"/>
      <c r="P170" s="36"/>
      <c r="Q170" s="36"/>
      <c r="R170" s="36"/>
    </row>
    <row r="171" spans="1:18" x14ac:dyDescent="0.25">
      <c r="A171" s="61" t="s">
        <v>380</v>
      </c>
      <c r="B171" s="61" t="s">
        <v>497</v>
      </c>
      <c r="C171" s="61">
        <f>762+142</f>
        <v>904</v>
      </c>
      <c r="D171" s="61">
        <v>3</v>
      </c>
      <c r="E171" s="61">
        <v>7</v>
      </c>
      <c r="F171" s="61">
        <v>3</v>
      </c>
      <c r="G171" s="61">
        <v>2912</v>
      </c>
      <c r="H171" s="61">
        <f t="shared" si="16"/>
        <v>1872</v>
      </c>
      <c r="I171" s="36"/>
      <c r="J171" s="36"/>
      <c r="K171" s="36"/>
      <c r="L171" s="36"/>
      <c r="M171" s="36"/>
      <c r="N171" s="36"/>
      <c r="O171" s="36"/>
      <c r="P171" s="36"/>
      <c r="Q171" s="36"/>
      <c r="R171" s="36"/>
    </row>
    <row r="172" spans="1:18" x14ac:dyDescent="0.25">
      <c r="A172" s="61" t="s">
        <v>381</v>
      </c>
      <c r="B172" s="61" t="s">
        <v>497</v>
      </c>
      <c r="C172" s="61">
        <v>1250</v>
      </c>
      <c r="D172" s="61">
        <v>3</v>
      </c>
      <c r="E172" s="61">
        <v>9</v>
      </c>
      <c r="F172" s="61">
        <v>5</v>
      </c>
      <c r="G172" s="61"/>
      <c r="H172" s="61">
        <f t="shared" si="16"/>
        <v>2256</v>
      </c>
      <c r="I172" s="36"/>
      <c r="J172" s="36"/>
      <c r="K172" s="36"/>
      <c r="L172" s="36"/>
      <c r="M172" s="36"/>
      <c r="N172" s="36"/>
      <c r="O172" s="36"/>
      <c r="P172" s="36"/>
      <c r="Q172" s="36"/>
      <c r="R172" s="36"/>
    </row>
    <row r="173" spans="1:18" x14ac:dyDescent="0.25">
      <c r="A173" s="61"/>
      <c r="B173" s="61"/>
      <c r="C173" s="61"/>
      <c r="D173" s="61"/>
      <c r="E173" s="61"/>
      <c r="F173" s="61"/>
      <c r="G173" s="61"/>
      <c r="H173" s="61">
        <f t="shared" si="16"/>
        <v>0</v>
      </c>
      <c r="I173" s="36"/>
      <c r="J173" s="36"/>
      <c r="K173" s="36"/>
      <c r="L173" s="36"/>
      <c r="M173" s="36"/>
      <c r="N173" s="36"/>
      <c r="O173" s="36"/>
      <c r="P173" s="36"/>
      <c r="Q173" s="36"/>
      <c r="R173" s="36"/>
    </row>
    <row r="174" spans="1:18" x14ac:dyDescent="0.25">
      <c r="A174" s="61" t="s">
        <v>382</v>
      </c>
      <c r="B174" s="61" t="s">
        <v>494</v>
      </c>
      <c r="C174" s="61"/>
      <c r="D174" s="61"/>
      <c r="E174" s="61"/>
      <c r="F174" s="61"/>
      <c r="G174" s="61">
        <v>80</v>
      </c>
      <c r="H174" s="61">
        <f t="shared" si="16"/>
        <v>0</v>
      </c>
      <c r="I174" s="36"/>
      <c r="J174" s="36"/>
      <c r="K174" s="36"/>
      <c r="L174" s="36"/>
      <c r="M174" s="36"/>
      <c r="N174" s="36"/>
      <c r="O174" s="36"/>
      <c r="P174" s="36"/>
      <c r="Q174" s="36"/>
      <c r="R174" s="36"/>
    </row>
    <row r="175" spans="1:18" x14ac:dyDescent="0.25">
      <c r="A175" s="61" t="s">
        <v>383</v>
      </c>
      <c r="B175" s="61" t="s">
        <v>497</v>
      </c>
      <c r="C175" s="61"/>
      <c r="D175" s="61"/>
      <c r="E175" s="61"/>
      <c r="F175" s="61"/>
      <c r="G175" s="61">
        <v>50</v>
      </c>
      <c r="H175" s="61">
        <f t="shared" si="16"/>
        <v>0</v>
      </c>
      <c r="I175" s="36"/>
      <c r="J175" s="36"/>
      <c r="K175" s="36"/>
      <c r="L175" s="36"/>
      <c r="M175" s="36"/>
      <c r="N175" s="36"/>
      <c r="O175" s="36"/>
      <c r="P175" s="36"/>
      <c r="Q175" s="36"/>
      <c r="R175" s="36"/>
    </row>
    <row r="176" spans="1:18" x14ac:dyDescent="0.25">
      <c r="A176" s="61" t="s">
        <v>384</v>
      </c>
      <c r="B176" s="61" t="s">
        <v>497</v>
      </c>
      <c r="C176" s="61"/>
      <c r="D176" s="61"/>
      <c r="E176" s="61"/>
      <c r="F176" s="61"/>
      <c r="G176" s="61">
        <v>140</v>
      </c>
      <c r="H176" s="61">
        <f t="shared" si="16"/>
        <v>0</v>
      </c>
      <c r="I176" s="36"/>
      <c r="J176" s="36"/>
      <c r="K176" s="36"/>
      <c r="L176" s="36"/>
      <c r="M176" s="36"/>
      <c r="N176" s="36"/>
      <c r="O176" s="36"/>
      <c r="P176" s="36"/>
      <c r="Q176" s="36"/>
      <c r="R176" s="36"/>
    </row>
    <row r="177" spans="1:18" x14ac:dyDescent="0.25">
      <c r="A177" s="61" t="s">
        <v>385</v>
      </c>
      <c r="B177" s="61" t="s">
        <v>497</v>
      </c>
      <c r="C177" s="61"/>
      <c r="D177" s="61"/>
      <c r="E177" s="61"/>
      <c r="F177" s="61"/>
      <c r="G177" s="61"/>
      <c r="H177" s="61">
        <f t="shared" si="16"/>
        <v>0</v>
      </c>
      <c r="I177" s="36"/>
      <c r="J177" s="36"/>
      <c r="K177" s="36"/>
      <c r="L177" s="36"/>
      <c r="M177" s="36"/>
      <c r="N177" s="36"/>
      <c r="O177" s="36"/>
      <c r="P177" s="36"/>
      <c r="Q177" s="36"/>
      <c r="R177" s="36"/>
    </row>
    <row r="178" spans="1:18" x14ac:dyDescent="0.25">
      <c r="A178" s="61" t="s">
        <v>386</v>
      </c>
      <c r="B178" s="61" t="s">
        <v>497</v>
      </c>
      <c r="C178" s="61"/>
      <c r="D178" s="61"/>
      <c r="E178" s="61"/>
      <c r="F178" s="61"/>
      <c r="G178" s="61"/>
      <c r="H178" s="61">
        <f t="shared" si="16"/>
        <v>0</v>
      </c>
      <c r="I178" s="36"/>
      <c r="J178" s="36"/>
      <c r="K178" s="36"/>
      <c r="L178" s="36"/>
      <c r="M178" s="36"/>
      <c r="N178" s="36"/>
      <c r="O178" s="36"/>
      <c r="P178" s="36"/>
      <c r="Q178" s="36"/>
      <c r="R178" s="36"/>
    </row>
    <row r="179" spans="1:18" x14ac:dyDescent="0.25">
      <c r="A179" s="61" t="s">
        <v>387</v>
      </c>
      <c r="B179" s="61" t="s">
        <v>497</v>
      </c>
      <c r="C179" s="61"/>
      <c r="D179" s="61"/>
      <c r="E179" s="61"/>
      <c r="F179" s="61"/>
      <c r="G179" s="61">
        <v>488</v>
      </c>
      <c r="H179" s="61">
        <f t="shared" si="16"/>
        <v>0</v>
      </c>
      <c r="I179" s="36"/>
      <c r="J179" s="36"/>
      <c r="K179" s="36"/>
      <c r="L179" s="36"/>
      <c r="M179" s="36"/>
      <c r="N179" s="36"/>
      <c r="O179" s="36"/>
      <c r="P179" s="36"/>
      <c r="Q179" s="36"/>
      <c r="R179" s="36"/>
    </row>
    <row r="180" spans="1:18" x14ac:dyDescent="0.25">
      <c r="A180" s="61" t="s">
        <v>388</v>
      </c>
      <c r="B180" s="61" t="s">
        <v>497</v>
      </c>
      <c r="C180" s="61"/>
      <c r="D180" s="61"/>
      <c r="E180" s="61"/>
      <c r="F180" s="61"/>
      <c r="G180" s="61"/>
      <c r="H180" s="61">
        <f t="shared" si="16"/>
        <v>0</v>
      </c>
      <c r="I180" s="36"/>
      <c r="J180" s="36"/>
      <c r="K180" s="36"/>
      <c r="L180" s="36"/>
      <c r="M180" s="36"/>
      <c r="N180" s="36"/>
      <c r="O180" s="36"/>
      <c r="P180" s="36"/>
      <c r="Q180" s="36"/>
      <c r="R180" s="36"/>
    </row>
    <row r="181" spans="1:18" x14ac:dyDescent="0.25">
      <c r="A181" s="61" t="s">
        <v>389</v>
      </c>
      <c r="B181" s="61" t="s">
        <v>390</v>
      </c>
      <c r="C181" s="61"/>
      <c r="D181" s="61"/>
      <c r="E181" s="61"/>
      <c r="F181" s="61"/>
      <c r="G181" s="61"/>
      <c r="H181" s="61">
        <f t="shared" si="16"/>
        <v>0</v>
      </c>
      <c r="I181" s="36"/>
      <c r="J181" s="36"/>
      <c r="K181" s="36"/>
      <c r="L181" s="36"/>
      <c r="M181" s="36"/>
      <c r="N181" s="36"/>
      <c r="O181" s="36"/>
      <c r="P181" s="36"/>
      <c r="Q181" s="36"/>
      <c r="R181" s="36"/>
    </row>
    <row r="182" spans="1:18" x14ac:dyDescent="0.25">
      <c r="A182" s="61" t="s">
        <v>391</v>
      </c>
      <c r="B182" s="61" t="s">
        <v>392</v>
      </c>
      <c r="C182" s="61"/>
      <c r="D182" s="61"/>
      <c r="E182" s="61"/>
      <c r="F182" s="61"/>
      <c r="G182" s="61">
        <v>300</v>
      </c>
      <c r="H182" s="61">
        <f t="shared" si="16"/>
        <v>0</v>
      </c>
      <c r="I182" s="36"/>
      <c r="J182" s="36"/>
      <c r="K182" s="36"/>
      <c r="L182" s="36"/>
      <c r="M182" s="36"/>
      <c r="N182" s="36"/>
      <c r="O182" s="36"/>
      <c r="P182" s="36"/>
      <c r="Q182" s="36"/>
      <c r="R182" s="36"/>
    </row>
    <row r="183" spans="1:18" x14ac:dyDescent="0.25">
      <c r="A183" s="61" t="s">
        <v>393</v>
      </c>
      <c r="B183" s="61" t="s">
        <v>497</v>
      </c>
      <c r="C183" s="61"/>
      <c r="D183" s="61"/>
      <c r="E183" s="61"/>
      <c r="F183" s="61"/>
      <c r="G183" s="61"/>
      <c r="H183" s="61">
        <f t="shared" si="16"/>
        <v>0</v>
      </c>
      <c r="I183" s="36"/>
      <c r="J183" s="36"/>
      <c r="K183" s="36"/>
      <c r="L183" s="36"/>
      <c r="M183" s="36"/>
      <c r="N183" s="36"/>
      <c r="O183" s="36"/>
      <c r="P183" s="36"/>
      <c r="Q183" s="36"/>
      <c r="R183" s="36"/>
    </row>
    <row r="184" spans="1:18" x14ac:dyDescent="0.25">
      <c r="A184" s="61" t="s">
        <v>394</v>
      </c>
      <c r="B184" s="61" t="s">
        <v>497</v>
      </c>
      <c r="C184" s="61"/>
      <c r="D184" s="61"/>
      <c r="E184" s="61"/>
      <c r="F184" s="61"/>
      <c r="G184" s="61"/>
      <c r="H184" s="61">
        <f t="shared" si="16"/>
        <v>0</v>
      </c>
      <c r="I184" s="36"/>
      <c r="J184" s="36"/>
      <c r="K184" s="36"/>
      <c r="L184" s="36"/>
      <c r="M184" s="36"/>
      <c r="N184" s="36"/>
      <c r="O184" s="36"/>
      <c r="P184" s="36"/>
      <c r="Q184" s="36"/>
      <c r="R184" s="36"/>
    </row>
    <row r="185" spans="1:18" x14ac:dyDescent="0.25">
      <c r="A185" s="61" t="s">
        <v>395</v>
      </c>
      <c r="B185" s="61" t="s">
        <v>497</v>
      </c>
      <c r="C185" s="61"/>
      <c r="D185" s="61"/>
      <c r="E185" s="61"/>
      <c r="F185" s="61"/>
      <c r="G185" s="61"/>
      <c r="H185" s="61">
        <f t="shared" si="16"/>
        <v>0</v>
      </c>
      <c r="I185" s="36"/>
      <c r="J185" s="36"/>
      <c r="K185" s="36"/>
      <c r="L185" s="36"/>
      <c r="M185" s="36"/>
      <c r="N185" s="36"/>
      <c r="O185" s="36"/>
      <c r="P185" s="36"/>
      <c r="Q185" s="36"/>
      <c r="R185" s="36"/>
    </row>
    <row r="186" spans="1:18" x14ac:dyDescent="0.25">
      <c r="A186" s="61" t="s">
        <v>396</v>
      </c>
      <c r="B186" s="61" t="s">
        <v>497</v>
      </c>
      <c r="C186" s="61"/>
      <c r="D186" s="61"/>
      <c r="E186" s="61"/>
      <c r="F186" s="61"/>
      <c r="G186" s="61"/>
      <c r="H186" s="61">
        <f t="shared" si="16"/>
        <v>0</v>
      </c>
      <c r="I186" s="36"/>
      <c r="J186" s="36"/>
      <c r="K186" s="36"/>
      <c r="L186" s="36"/>
      <c r="M186" s="36"/>
      <c r="N186" s="36"/>
      <c r="O186" s="36"/>
      <c r="P186" s="36"/>
      <c r="Q186" s="36"/>
      <c r="R186" s="36"/>
    </row>
    <row r="187" spans="1:18" x14ac:dyDescent="0.25">
      <c r="A187" s="61" t="s">
        <v>397</v>
      </c>
      <c r="B187" s="61" t="s">
        <v>497</v>
      </c>
      <c r="C187" s="61"/>
      <c r="D187" s="61"/>
      <c r="E187" s="61"/>
      <c r="F187" s="61"/>
      <c r="G187" s="61"/>
      <c r="H187" s="61">
        <f t="shared" si="16"/>
        <v>0</v>
      </c>
      <c r="I187" s="36"/>
      <c r="J187" s="36"/>
      <c r="K187" s="36"/>
      <c r="L187" s="36"/>
      <c r="M187" s="36"/>
      <c r="N187" s="36"/>
      <c r="O187" s="36"/>
      <c r="P187" s="36"/>
      <c r="Q187" s="36"/>
      <c r="R187" s="36"/>
    </row>
    <row r="188" spans="1:18" x14ac:dyDescent="0.25">
      <c r="A188" s="61" t="s">
        <v>398</v>
      </c>
      <c r="B188" s="61" t="s">
        <v>503</v>
      </c>
      <c r="C188" s="61"/>
      <c r="D188" s="61"/>
      <c r="E188" s="61"/>
      <c r="F188" s="61"/>
      <c r="G188" s="61">
        <v>350</v>
      </c>
      <c r="H188" s="61">
        <f t="shared" si="16"/>
        <v>0</v>
      </c>
      <c r="I188" s="36"/>
      <c r="J188" s="36"/>
      <c r="K188" s="36"/>
      <c r="L188" s="36"/>
      <c r="M188" s="36"/>
      <c r="N188" s="36"/>
      <c r="O188" s="36"/>
      <c r="P188" s="36"/>
      <c r="Q188" s="36"/>
      <c r="R188" s="36"/>
    </row>
    <row r="189" spans="1:18" x14ac:dyDescent="0.25">
      <c r="A189" s="61" t="s">
        <v>399</v>
      </c>
      <c r="B189" s="61" t="s">
        <v>400</v>
      </c>
      <c r="C189" s="61"/>
      <c r="D189" s="61"/>
      <c r="E189" s="61"/>
      <c r="F189" s="61"/>
      <c r="G189" s="61">
        <v>120</v>
      </c>
      <c r="H189" s="61">
        <f t="shared" si="16"/>
        <v>0</v>
      </c>
      <c r="I189" s="36"/>
      <c r="J189" s="36"/>
      <c r="K189" s="36"/>
      <c r="L189" s="36"/>
      <c r="M189" s="36"/>
      <c r="N189" s="36"/>
      <c r="O189" s="36"/>
      <c r="P189" s="36"/>
      <c r="Q189" s="36"/>
      <c r="R189" s="36"/>
    </row>
    <row r="190" spans="1:18" x14ac:dyDescent="0.25">
      <c r="A190" s="61" t="s">
        <v>401</v>
      </c>
      <c r="B190" s="61" t="s">
        <v>497</v>
      </c>
      <c r="C190" s="61"/>
      <c r="D190" s="61"/>
      <c r="E190" s="61"/>
      <c r="F190" s="61"/>
      <c r="G190" s="61">
        <f>100+35+12</f>
        <v>147</v>
      </c>
      <c r="H190" s="61">
        <f t="shared" si="16"/>
        <v>0</v>
      </c>
      <c r="I190" s="36"/>
      <c r="J190" s="36"/>
      <c r="K190" s="36"/>
      <c r="L190" s="36"/>
      <c r="M190" s="36"/>
      <c r="N190" s="36"/>
      <c r="O190" s="36"/>
      <c r="P190" s="36"/>
      <c r="Q190" s="36"/>
      <c r="R190" s="36"/>
    </row>
    <row r="191" spans="1:18" x14ac:dyDescent="0.25">
      <c r="A191" s="61" t="s">
        <v>402</v>
      </c>
      <c r="B191" s="61" t="s">
        <v>403</v>
      </c>
      <c r="C191" s="61"/>
      <c r="D191" s="61"/>
      <c r="E191" s="61"/>
      <c r="F191" s="61"/>
      <c r="G191" s="61"/>
      <c r="H191" s="61">
        <f t="shared" si="16"/>
        <v>0</v>
      </c>
      <c r="I191" s="36"/>
      <c r="J191" s="36"/>
      <c r="K191" s="36"/>
      <c r="L191" s="36"/>
      <c r="M191" s="36"/>
      <c r="N191" s="36"/>
      <c r="O191" s="36"/>
      <c r="P191" s="36"/>
      <c r="Q191" s="36"/>
      <c r="R191" s="36"/>
    </row>
    <row r="192" spans="1:18" x14ac:dyDescent="0.25">
      <c r="A192" s="61"/>
      <c r="B192" s="61"/>
      <c r="C192" s="61"/>
      <c r="D192" s="61"/>
      <c r="E192" s="61"/>
      <c r="F192" s="61"/>
      <c r="G192" s="61"/>
      <c r="H192" s="61">
        <f t="shared" si="16"/>
        <v>0</v>
      </c>
      <c r="I192" s="36"/>
      <c r="J192" s="36"/>
      <c r="K192" s="36"/>
      <c r="L192" s="36"/>
      <c r="M192" s="36"/>
      <c r="N192" s="36"/>
      <c r="O192" s="36"/>
      <c r="P192" s="36"/>
      <c r="Q192" s="36"/>
      <c r="R192" s="36"/>
    </row>
    <row r="193" spans="1:18" x14ac:dyDescent="0.25">
      <c r="A193" s="61" t="s">
        <v>404</v>
      </c>
      <c r="B193" s="61" t="s">
        <v>405</v>
      </c>
      <c r="C193" s="61">
        <v>0</v>
      </c>
      <c r="D193" s="61">
        <v>0</v>
      </c>
      <c r="E193" s="61">
        <v>1</v>
      </c>
      <c r="F193" s="61">
        <v>0</v>
      </c>
      <c r="G193" s="61">
        <v>200</v>
      </c>
      <c r="H193" s="61">
        <f t="shared" si="16"/>
        <v>144</v>
      </c>
      <c r="I193" s="36"/>
      <c r="J193" s="36"/>
      <c r="K193" s="36"/>
      <c r="L193" s="36"/>
      <c r="M193" s="36"/>
      <c r="N193" s="36"/>
      <c r="O193" s="36"/>
      <c r="P193" s="36"/>
      <c r="Q193" s="36"/>
      <c r="R193" s="36"/>
    </row>
    <row r="194" spans="1:18" x14ac:dyDescent="0.25">
      <c r="A194" s="61" t="s">
        <v>406</v>
      </c>
      <c r="B194" s="61" t="s">
        <v>494</v>
      </c>
      <c r="C194" s="61">
        <v>0</v>
      </c>
      <c r="D194" s="61">
        <v>0</v>
      </c>
      <c r="E194" s="61">
        <v>0</v>
      </c>
      <c r="F194" s="61">
        <v>0</v>
      </c>
      <c r="G194" s="61">
        <v>175</v>
      </c>
      <c r="H194" s="61">
        <f t="shared" si="16"/>
        <v>0</v>
      </c>
      <c r="I194" s="36"/>
      <c r="J194" s="36"/>
      <c r="K194" s="36"/>
      <c r="L194" s="36"/>
      <c r="M194" s="36"/>
      <c r="N194" s="36"/>
      <c r="O194" s="36"/>
      <c r="P194" s="36"/>
      <c r="Q194" s="36"/>
      <c r="R194" s="36"/>
    </row>
    <row r="195" spans="1:18" x14ac:dyDescent="0.25">
      <c r="A195" s="61" t="s">
        <v>407</v>
      </c>
      <c r="B195" s="61" t="s">
        <v>392</v>
      </c>
      <c r="C195" s="61">
        <v>0</v>
      </c>
      <c r="D195" s="61">
        <v>0</v>
      </c>
      <c r="E195" s="61">
        <v>1</v>
      </c>
      <c r="F195" s="61">
        <v>0</v>
      </c>
      <c r="G195" s="61">
        <v>0</v>
      </c>
      <c r="H195" s="61">
        <f t="shared" si="16"/>
        <v>144</v>
      </c>
      <c r="I195" s="36"/>
      <c r="J195" s="36"/>
      <c r="K195" s="36"/>
      <c r="L195" s="36"/>
      <c r="M195" s="36"/>
      <c r="N195" s="36"/>
      <c r="O195" s="36"/>
      <c r="P195" s="36"/>
      <c r="Q195" s="36"/>
      <c r="R195" s="36"/>
    </row>
    <row r="196" spans="1:18" x14ac:dyDescent="0.25">
      <c r="A196" s="61" t="s">
        <v>408</v>
      </c>
      <c r="B196" s="61" t="s">
        <v>494</v>
      </c>
      <c r="C196" s="61">
        <v>0</v>
      </c>
      <c r="D196" s="61">
        <v>0</v>
      </c>
      <c r="E196" s="61">
        <v>1</v>
      </c>
      <c r="F196" s="61">
        <v>0</v>
      </c>
      <c r="G196" s="61">
        <v>0</v>
      </c>
      <c r="H196" s="61">
        <f>12*((D195*20)+(E195*12)+(F195*4))</f>
        <v>144</v>
      </c>
      <c r="I196" s="36"/>
      <c r="J196" s="36"/>
      <c r="K196" s="36"/>
      <c r="L196" s="36"/>
      <c r="M196" s="36"/>
      <c r="N196" s="36"/>
      <c r="O196" s="36"/>
      <c r="P196" s="36"/>
      <c r="Q196" s="36"/>
      <c r="R196" s="36"/>
    </row>
    <row r="197" spans="1:18" x14ac:dyDescent="0.25">
      <c r="A197" s="61"/>
      <c r="B197" s="61"/>
      <c r="C197" s="61"/>
      <c r="D197" s="61"/>
      <c r="E197" s="61"/>
      <c r="F197" s="61"/>
      <c r="G197" s="39" t="s">
        <v>409</v>
      </c>
      <c r="H197" s="39">
        <f>SUM(H153:H196)</f>
        <v>23616</v>
      </c>
      <c r="I197" s="36"/>
      <c r="J197" s="36"/>
      <c r="K197" s="36"/>
      <c r="L197" s="36"/>
      <c r="M197" s="36"/>
      <c r="N197" s="36"/>
      <c r="O197" s="36"/>
      <c r="P197" s="36"/>
      <c r="Q197" s="36"/>
      <c r="R197" s="36"/>
    </row>
    <row r="198" spans="1:18" x14ac:dyDescent="0.25">
      <c r="A198" s="61" t="s">
        <v>434</v>
      </c>
      <c r="B198" s="61" t="s">
        <v>438</v>
      </c>
      <c r="C198" s="36"/>
      <c r="D198" s="36"/>
      <c r="E198" s="36"/>
      <c r="F198" s="36"/>
      <c r="G198" s="36"/>
      <c r="H198" s="36"/>
      <c r="I198" s="43"/>
      <c r="J198" s="36"/>
      <c r="K198" s="36"/>
      <c r="L198" s="36"/>
      <c r="M198" s="36"/>
      <c r="N198" s="36"/>
      <c r="O198" s="36"/>
      <c r="P198" s="36"/>
      <c r="Q198" s="36"/>
      <c r="R198" s="36"/>
    </row>
    <row r="199" spans="1:18" x14ac:dyDescent="0.25">
      <c r="A199" s="61" t="s">
        <v>435</v>
      </c>
      <c r="B199" s="61">
        <v>1000.4129999999997</v>
      </c>
      <c r="C199" s="36"/>
      <c r="D199" s="36"/>
      <c r="E199" s="36"/>
      <c r="F199" s="36"/>
      <c r="G199" s="36"/>
      <c r="H199" s="36"/>
      <c r="I199" s="36"/>
      <c r="J199" s="36"/>
      <c r="K199" s="36"/>
      <c r="L199" s="36"/>
      <c r="M199" s="36"/>
      <c r="N199" s="36"/>
      <c r="O199" s="36"/>
      <c r="P199" s="36"/>
      <c r="Q199" s="36"/>
      <c r="R199" s="36"/>
    </row>
    <row r="200" spans="1:18" x14ac:dyDescent="0.25">
      <c r="A200" s="61" t="s">
        <v>436</v>
      </c>
      <c r="B200" s="61">
        <v>148.03020000000001</v>
      </c>
      <c r="C200" s="36"/>
      <c r="D200" s="36"/>
      <c r="E200" s="36"/>
      <c r="F200" s="36"/>
      <c r="G200" s="36"/>
      <c r="H200" s="36"/>
      <c r="I200" s="36"/>
      <c r="J200" s="36"/>
      <c r="K200" s="36"/>
      <c r="L200" s="36"/>
      <c r="M200" s="36"/>
      <c r="N200" s="36"/>
      <c r="O200" s="36"/>
      <c r="P200" s="36"/>
      <c r="Q200" s="36"/>
      <c r="R200" s="36"/>
    </row>
    <row r="201" spans="1:18" x14ac:dyDescent="0.25">
      <c r="A201" s="61" t="s">
        <v>437</v>
      </c>
      <c r="B201" s="61">
        <v>1082.9841750000001</v>
      </c>
      <c r="C201" s="36"/>
      <c r="D201" s="36"/>
      <c r="E201" s="36"/>
      <c r="F201" s="36"/>
      <c r="G201" s="36"/>
      <c r="H201" s="36"/>
      <c r="I201" s="36"/>
      <c r="J201" s="36"/>
      <c r="K201" s="36"/>
      <c r="L201" s="36"/>
      <c r="M201" s="36"/>
      <c r="N201" s="36"/>
      <c r="O201" s="36"/>
      <c r="P201" s="36"/>
      <c r="Q201" s="36"/>
      <c r="R201" s="36"/>
    </row>
    <row r="202" spans="1:18" x14ac:dyDescent="0.25">
      <c r="A202" s="36" t="s">
        <v>409</v>
      </c>
      <c r="B202" s="72">
        <f>SUM(B199:B201)</f>
        <v>2231.4273749999998</v>
      </c>
      <c r="C202" s="36"/>
      <c r="D202" s="36"/>
      <c r="E202" s="36"/>
      <c r="F202" s="36"/>
      <c r="G202" s="36"/>
      <c r="H202" s="36"/>
      <c r="I202" s="36"/>
      <c r="J202" s="36"/>
      <c r="K202" s="36"/>
      <c r="L202" s="36"/>
      <c r="M202" s="36"/>
      <c r="N202" s="36"/>
      <c r="O202" s="36"/>
      <c r="P202" s="36"/>
      <c r="Q202" s="36"/>
      <c r="R202" s="36"/>
    </row>
    <row r="203" spans="1:18" x14ac:dyDescent="0.25">
      <c r="A203" s="457"/>
      <c r="B203" s="457"/>
      <c r="C203" s="457"/>
      <c r="D203" s="457"/>
      <c r="E203" s="457"/>
      <c r="F203" s="457"/>
      <c r="G203" s="457"/>
      <c r="H203" s="457"/>
      <c r="I203" s="36"/>
      <c r="J203" s="36"/>
      <c r="K203" s="36"/>
      <c r="L203" s="36"/>
      <c r="M203" s="36"/>
      <c r="N203" s="36"/>
      <c r="O203" s="36"/>
      <c r="P203" s="36"/>
      <c r="Q203" s="36"/>
      <c r="R203"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L11" formulaRange="1"/>
    <ignoredError sqref="D6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S199"/>
  <sheetViews>
    <sheetView topLeftCell="A107"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1049</v>
      </c>
      <c r="E1" s="412" t="s">
        <v>433</v>
      </c>
      <c r="I1" s="1192" t="str">
        <f>'Bioenergy Calculator'!B3</f>
        <v>None</v>
      </c>
      <c r="J1" s="1193"/>
      <c r="K1" s="1193"/>
      <c r="L1" s="1194"/>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0</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0.76439999999999997</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Tables'!I8="NA","NA",$D7/'Conversion Tables'!I8)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3.5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Tables'!I9="NA","NA",$D8/'Conversion Tables'!I9)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0</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Tables'!I10="NA","NA",$D9/'Conversion Tables'!I10)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Tables'!I11="NA","NA",$D10/'Conversion Tables'!I11)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4.2644000000000002</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11.9</v>
      </c>
      <c r="D15" s="294">
        <f>E15*'Conversion Tables'!C14</f>
        <v>149.76864</v>
      </c>
      <c r="E15" s="294">
        <f>C15*'Prac. Rec. Assumptions'!B11</f>
        <v>9.5200000000000014</v>
      </c>
      <c r="F15" s="294">
        <f>$E15</f>
        <v>9.5200000000000014</v>
      </c>
      <c r="G15" s="294">
        <f>$E15</f>
        <v>9.5200000000000014</v>
      </c>
      <c r="H15" s="294">
        <f>$E15</f>
        <v>9.5200000000000014</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1.9124999999999999</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2.125</v>
      </c>
      <c r="D17" s="294">
        <f>E17*'Conversion Tables'!C16</f>
        <v>28.415924999999998</v>
      </c>
      <c r="E17" s="294">
        <f>C17*'Prac. Rec. Assumptions'!B13</f>
        <v>1.8062499999999999</v>
      </c>
      <c r="F17" s="294">
        <f t="shared" si="2"/>
        <v>1.8062499999999999</v>
      </c>
      <c r="G17" s="294">
        <f t="shared" si="2"/>
        <v>1.8062499999999999</v>
      </c>
      <c r="H17" s="294">
        <f t="shared" si="2"/>
        <v>1.8062499999999999</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0</v>
      </c>
      <c r="D18" s="294">
        <f>E18*'Conversion Tables'!C17</f>
        <v>0</v>
      </c>
      <c r="E18" s="294">
        <f>C18*'Prac. Rec. Assumptions'!B14</f>
        <v>0</v>
      </c>
      <c r="F18" s="294">
        <f t="shared" si="2"/>
        <v>0</v>
      </c>
      <c r="G18" s="294">
        <f t="shared" si="2"/>
        <v>0</v>
      </c>
      <c r="H18" s="294">
        <f t="shared" si="2"/>
        <v>0</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0</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99.704999999999998</v>
      </c>
      <c r="D20" s="294">
        <f>E20*'Conversion Tables'!C19</f>
        <v>777.69899999999996</v>
      </c>
      <c r="E20" s="294">
        <f>C20*'Prac. Rec. Assumptions'!B16</f>
        <v>49.852499999999999</v>
      </c>
      <c r="F20" s="294">
        <f t="shared" si="2"/>
        <v>49.852499999999999</v>
      </c>
      <c r="G20" s="294">
        <f t="shared" si="2"/>
        <v>49.852499999999999</v>
      </c>
      <c r="H20" s="294">
        <f t="shared" si="2"/>
        <v>49.852499999999999</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0</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Assumptions'!P8*1000*'Energy Content Assumptions'!C18</f>
        <v>11655</v>
      </c>
      <c r="D22" s="294">
        <f>E22*'Conversion Tables'!C21</f>
        <v>90909</v>
      </c>
      <c r="E22" s="294">
        <f>C22*'Prac. Rec. Assumptions'!B18</f>
        <v>5827.5</v>
      </c>
      <c r="F22" s="294">
        <f t="shared" si="2"/>
        <v>5827.5</v>
      </c>
      <c r="G22" s="294">
        <f t="shared" si="2"/>
        <v>5827.5</v>
      </c>
      <c r="H22" s="294">
        <f t="shared" si="2"/>
        <v>5827.5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1503.78</v>
      </c>
      <c r="D23" s="294">
        <f>E23*'Conversion Tables'!C22</f>
        <v>24565.750079999998</v>
      </c>
      <c r="E23" s="294">
        <f>C23*'Prac. Rec. Assumptions'!B19</f>
        <v>1503.78</v>
      </c>
      <c r="F23" s="297">
        <f t="shared" si="2"/>
        <v>1503.78</v>
      </c>
      <c r="G23" s="297">
        <f t="shared" si="2"/>
        <v>1503.78</v>
      </c>
      <c r="H23" s="297">
        <f t="shared" si="2"/>
        <v>1503.78</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24472.7</v>
      </c>
      <c r="D25" s="294">
        <f>E25*'Conversion Tables'!C24</f>
        <v>433166.79</v>
      </c>
      <c r="E25" s="294">
        <f>C25*'Prac. Rec. Assumptions'!B21</f>
        <v>24472.7</v>
      </c>
      <c r="F25" s="294">
        <f>($C25*(1+'Biomass Data Assumptions'!G$93))*'Prac. Rec. Assumptions'!$B21</f>
        <v>24535.951163052028</v>
      </c>
      <c r="G25" s="294">
        <f>($C25*(1+'Biomass Data Assumptions'!H$93))*'Prac. Rec. Assumptions'!$B21</f>
        <v>24621.20273064389</v>
      </c>
      <c r="H25" s="294">
        <f>($C25*(1+'Biomass Data Assumptions'!I$93))*'Prac. Rec. Assumptions'!$B21</f>
        <v>24698.204146533317</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7570.0166666666664</v>
      </c>
      <c r="D26" s="294">
        <f>E26*'Conversion Tables'!C25</f>
        <v>118092.26</v>
      </c>
      <c r="E26" s="294">
        <f>C26*'Prac. Rec. Assumptions'!B22</f>
        <v>7570.0166666666664</v>
      </c>
      <c r="F26" s="294">
        <f>($C26*(1+'Biomass Data Assumptions'!G$93))*'Prac. Rec. Assumptions'!$B22</f>
        <v>7589.5818294190358</v>
      </c>
      <c r="G26" s="294">
        <f>($C26*(1+'Biomass Data Assumptions'!H$93))*'Prac. Rec. Assumptions'!$B22</f>
        <v>7615.9522661722285</v>
      </c>
      <c r="H26" s="294">
        <f>($C26*(1+'Biomass Data Assumptions'!I$93))*'Prac. Rec. Assumptions'!$B22</f>
        <v>7639.7707251751126</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46938.213333333333</v>
      </c>
      <c r="D27" s="294">
        <f>E27*'Conversion Tables'!C26</f>
        <v>732236.12800000003</v>
      </c>
      <c r="E27" s="294">
        <f>C27*'Prac. Rec. Assumptions'!B23</f>
        <v>46938.213333333333</v>
      </c>
      <c r="F27" s="294">
        <f>($C27*(1+'Biomass Data Assumptions'!G$93))*'Prac. Rec. Assumptions'!$B23</f>
        <v>47059.52796493988</v>
      </c>
      <c r="G27" s="294">
        <f>($C27*(1+'Biomass Data Assumptions'!H$93))*'Prac. Rec. Assumptions'!$B23</f>
        <v>47223.0389901487</v>
      </c>
      <c r="H27" s="294">
        <f>($C27*(1+'Biomass Data Assumptions'!I$93))*'Prac. Rec. Assumptions'!$B23</f>
        <v>47370.726367756673</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1481.7449999999999</v>
      </c>
      <c r="D28" s="294">
        <f>E28*'Conversion Tables'!C27</f>
        <v>26226.886499999997</v>
      </c>
      <c r="E28" s="294">
        <f>C28*'Prac. Rec. Assumptions'!B24</f>
        <v>1481.7449999999999</v>
      </c>
      <c r="F28" s="294">
        <f>($C28*(1+'Biomass Data Assumptions'!G$93))*'Prac. Rec. Assumptions'!$B24</f>
        <v>1485.5746589504438</v>
      </c>
      <c r="G28" s="294">
        <f>($C28*(1+'Biomass Data Assumptions'!H$93))*'Prac. Rec. Assumptions'!$B24</f>
        <v>1490.7363731879984</v>
      </c>
      <c r="H28" s="294">
        <f>($C28*(1+'Biomass Data Assumptions'!I$93))*'Prac. Rec. Assumptions'!$B24</f>
        <v>1495.3985666928868</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93737.097499999989</v>
      </c>
      <c r="D29" s="295">
        <f>SUM(D13:D28)</f>
        <v>1426152.698145</v>
      </c>
      <c r="E29" s="295">
        <f t="shared" si="3"/>
        <v>87855.133749999994</v>
      </c>
      <c r="F29" s="295">
        <f>SUM(F13:F28)</f>
        <v>88063.094366361387</v>
      </c>
      <c r="G29" s="295">
        <f>SUM(G13:G28)</f>
        <v>88343.389110152813</v>
      </c>
      <c r="H29" s="295">
        <f>SUM(H13:H28)</f>
        <v>88596.558556157994</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25933.064724000003</v>
      </c>
      <c r="D32" s="294">
        <f>E32*'Conversion Tables'!C29</f>
        <v>248957.42135040008</v>
      </c>
      <c r="E32" s="294">
        <f>C32*'Prac. Rec. Assumptions'!B26</f>
        <v>15559.838834400005</v>
      </c>
      <c r="F32" s="294">
        <f>($C32*(1+'Biomass Data Assumptions'!G$93)*(1+'Biomass Data Assumptions'!C$82))*'Prac. Rec. Assumptions'!$B26</f>
        <v>15589.462055355991</v>
      </c>
      <c r="G32" s="294">
        <f>($C32*(1+'Biomass Data Assumptions'!H$93)*(1+'Biomass Data Assumptions'!D$82))*'Prac. Rec. Assumptions'!$B26</f>
        <v>15633.006830960963</v>
      </c>
      <c r="H32" s="294">
        <f>($C32*(1+'Biomass Data Assumptions'!I$93)*(1+'Biomass Data Assumptions'!E$82))*'Prac. Rec. Assumptions'!$B26</f>
        <v>15671.250486188648</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95650.715970000005</v>
      </c>
      <c r="D33" s="294">
        <f>E33*'Conversion Tables'!C30</f>
        <v>1111231.7578530721</v>
      </c>
      <c r="E33" s="294">
        <f>C33*'Prac. Rec. Assumptions'!B27</f>
        <v>76520.572776000001</v>
      </c>
      <c r="F33" s="294">
        <f>($C33*(1+'Biomass Data Assumptions'!G$93)*(1+'Biomass Data Assumptions'!C$82))*'Prac. Rec. Assumptions'!$B27</f>
        <v>76666.254608514282</v>
      </c>
      <c r="G33" s="294">
        <f>($C33*(1+'Biomass Data Assumptions'!H$93)*(1+'Biomass Data Assumptions'!D$82))*'Prac. Rec. Assumptions'!$B27</f>
        <v>76880.40021800017</v>
      </c>
      <c r="H33" s="294">
        <f>($C33*(1+'Biomass Data Assumptions'!I$93)*(1+'Biomass Data Assumptions'!E$82))*'Prac. Rec. Assumptions'!$B27</f>
        <v>77068.475842318367</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73575.372210000001</v>
      </c>
      <c r="D34" s="294">
        <f>E34*'Conversion Tables'!C31</f>
        <v>769292.31976820657</v>
      </c>
      <c r="E34" s="294">
        <f>C34*'Prac. Rec. Assumptions'!B28</f>
        <v>52974.267991200009</v>
      </c>
      <c r="F34" s="294">
        <f>($C34*(1+'Biomass Data Assumptions'!G$93)*(1+'Biomass Data Assumptions'!C$82))*'Prac. Rec. Assumptions'!$B28</f>
        <v>53075.121763683535</v>
      </c>
      <c r="G34" s="294">
        <f>($C34*(1+'Biomass Data Assumptions'!H$93)*(1+'Biomass Data Assumptions'!D$82))*'Prac. Rec. Assumptions'!$B28</f>
        <v>53223.372181767219</v>
      </c>
      <c r="H34" s="294">
        <f>($C34*(1+'Biomass Data Assumptions'!I$93)*(1+'Biomass Data Assumptions'!E$82))*'Prac. Rec. Assumptions'!$B28</f>
        <v>53353.574664103689</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86592.899200000014</v>
      </c>
      <c r="D35" s="294">
        <f>E35*'Conversion Tables'!C32</f>
        <v>980924.36213760031</v>
      </c>
      <c r="E35" s="294">
        <f>C35*'Prac. Rec. Assumptions'!B29</f>
        <v>55419.455488000021</v>
      </c>
      <c r="F35" s="294">
        <f>($C35*(1+'Biomass Data Assumptions'!G$93)*(1+'Biomass Data Assumptions'!C$83))*'Prac. Rec. Assumptions'!$B29</f>
        <v>58352.553825610652</v>
      </c>
      <c r="G35" s="294">
        <f>($C35*(1+'Biomass Data Assumptions'!H$93)*(1+'Biomass Data Assumptions'!D$83))*'Prac. Rec. Assumptions'!$B29</f>
        <v>61495.428898251797</v>
      </c>
      <c r="H35" s="294">
        <f>($C35*(1+'Biomass Data Assumptions'!I$93)*(1+'Biomass Data Assumptions'!E$83))*'Prac. Rec. Assumptions'!$B29</f>
        <v>64785.161849809228</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4689.3125</v>
      </c>
      <c r="D37" s="294">
        <f>E37*'Conversion Tables'!C34</f>
        <v>75029</v>
      </c>
      <c r="E37" s="294">
        <f>C37*'Prac. Rec. Assumptions'!B31</f>
        <v>4689.3125</v>
      </c>
      <c r="F37" s="294">
        <f>($C37*(1+'Biomass Data Assumptions'!G$93)*(1+'Biomass Data Assumptions'!C$84))*'Prac. Rec. Assumptions'!$B31</f>
        <v>5140.9042670422868</v>
      </c>
      <c r="G37" s="294">
        <f>($C37*(1+'Biomass Data Assumptions'!H$93)*(1+'Biomass Data Assumptions'!D$84))*'Prac. Rec. Assumptions'!$B31</f>
        <v>5640.9884585113314</v>
      </c>
      <c r="H37" s="294">
        <f>($C37*(1+'Biomass Data Assumptions'!I$93)*(1+'Biomass Data Assumptions'!E$84))*'Prac. Rec. Assumptions'!$B31</f>
        <v>6187.5775067983532</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11347.04</v>
      </c>
      <c r="D38" s="294">
        <f>E38*'Conversion Tables'!C35</f>
        <v>100421.304</v>
      </c>
      <c r="E38" s="294">
        <f>C38*'Prac. Rec. Assumptions'!B32</f>
        <v>5673.52</v>
      </c>
      <c r="F38" s="294">
        <f>($C38*(1+'Biomass Data Assumptions'!G$93)*(1+'Biomass Data Assumptions'!C$84))*'Prac. Rec. Assumptions'!$B32</f>
        <v>6219.8932524010188</v>
      </c>
      <c r="G38" s="294">
        <f>($C38*(1+'Biomass Data Assumptions'!H$93)*(1+'Biomass Data Assumptions'!D$84))*'Prac. Rec. Assumptions'!$B32</f>
        <v>6824.9366701692861</v>
      </c>
      <c r="H38" s="294">
        <f>($C38*(1+'Biomass Data Assumptions'!I$93)*(1+'Biomass Data Assumptions'!E$84))*'Prac. Rec. Assumptions'!$B32</f>
        <v>7486.2455288212495</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77009.544000000009</v>
      </c>
      <c r="D39" s="299">
        <f>E39*'Conversion Tables'!C36</f>
        <v>0</v>
      </c>
      <c r="E39" s="299">
        <f>C39*'Prac. Rec. Assumptions'!B33</f>
        <v>0</v>
      </c>
      <c r="F39" s="294">
        <f>($C39*(1+'Biomass Data Assumptions'!G$93)*(1+'Biomass Data Assumptions'!C$84))*'Prac. Rec. Assumptions'!$B33</f>
        <v>0</v>
      </c>
      <c r="G39" s="294">
        <f>($C39*(1+'Biomass Data Assumptions'!H$93)*(1+'Biomass Data Assumptions'!D$84))*'Prac. Rec. Assumptions'!$B33</f>
        <v>0</v>
      </c>
      <c r="H39" s="294">
        <f>($C39*(1+'Biomass Data Assumptions'!I$93)*(1+'Biomass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22298.795999999998</v>
      </c>
      <c r="D40" s="299">
        <f>E40*'Conversion Tables'!C37</f>
        <v>0</v>
      </c>
      <c r="E40" s="299">
        <f>C40*'Prac. Rec. Assumptions'!B34</f>
        <v>0</v>
      </c>
      <c r="F40" s="294">
        <f>($C40*(1+'Biomass Data Assumptions'!G$93)*(1+'Biomass Data Assumptions'!C$84))*'Prac. Rec. Assumptions'!$B34</f>
        <v>0</v>
      </c>
      <c r="G40" s="294">
        <f>($C40*(1+'Biomass Data Assumptions'!H$93)*(1+'Biomass Data Assumptions'!D$84))*'Prac. Rec. Assumptions'!$B34</f>
        <v>0</v>
      </c>
      <c r="H40" s="294">
        <f>($C40*(1+'Biomass Data Assumptions'!I$93)*(1+'Biomass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35479.701000000001</v>
      </c>
      <c r="D41" s="299">
        <f>E41*'Conversion Tables'!C38</f>
        <v>0</v>
      </c>
      <c r="E41" s="299">
        <f>C41*'Prac. Rec. Assumptions'!B35</f>
        <v>0</v>
      </c>
      <c r="F41" s="294">
        <f>($C41*(1+'Biomass Data Assumptions'!G$93)*(1+'Biomass Data Assumptions'!C$84))*'Prac. Rec. Assumptions'!$B35</f>
        <v>0</v>
      </c>
      <c r="G41" s="294">
        <f>($C41*(1+'Biomass Data Assumptions'!H$93)*(1+'Biomass Data Assumptions'!D$84))*'Prac. Rec. Assumptions'!$B35</f>
        <v>0</v>
      </c>
      <c r="H41" s="294">
        <f>($C41*(1+'Biomass Data Assumptions'!I$93)*(1+'Biomass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16012.773000000001</v>
      </c>
      <c r="D42" s="299">
        <f>E42*'Conversion Tables'!C39</f>
        <v>232537.48950600001</v>
      </c>
      <c r="E42" s="299">
        <f>C42*'Prac. Rec. Assumptions'!B36</f>
        <v>16012.773000000001</v>
      </c>
      <c r="F42" s="294">
        <f>($C42*(1+'Biomass Data Assumptions'!G$93)*(1+'Biomass Data Assumptions'!C$84))*'Prac. Rec. Assumptions'!$B36</f>
        <v>17554.840510816783</v>
      </c>
      <c r="G42" s="294">
        <f>($C42*(1+'Biomass Data Assumptions'!H$93)*(1+'Biomass Data Assumptions'!D$84))*'Prac. Rec. Assumptions'!$B36</f>
        <v>19262.496939959081</v>
      </c>
      <c r="H42" s="294">
        <f>($C42*(1+'Biomass Data Assumptions'!I$93)*(1+'Biomass Data Assumptions'!E$84))*'Prac. Rec. Assumptions'!$B36</f>
        <v>21128.955265034692</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448589.21860399994</v>
      </c>
      <c r="D43" s="295">
        <f t="shared" si="4"/>
        <v>3518393.6546152793</v>
      </c>
      <c r="E43" s="295">
        <f t="shared" si="4"/>
        <v>226849.74058960006</v>
      </c>
      <c r="F43" s="295">
        <f t="shared" si="4"/>
        <v>232599.0302834246</v>
      </c>
      <c r="G43" s="295">
        <f t="shared" si="4"/>
        <v>238960.63019761984</v>
      </c>
      <c r="H43" s="295">
        <f t="shared" si="4"/>
        <v>245681.24114307421</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0</v>
      </c>
      <c r="D46" s="294">
        <f>E46*'Conversion Tables'!C41</f>
        <v>0</v>
      </c>
      <c r="E46" s="294">
        <f>C46*'Prac. Rec. Assumptions'!B38</f>
        <v>0</v>
      </c>
      <c r="F46" s="294">
        <f>$E46</f>
        <v>0</v>
      </c>
      <c r="G46" s="294">
        <f>$E46</f>
        <v>0</v>
      </c>
      <c r="H46" s="294">
        <f>$E46</f>
        <v>0</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3385.1338400000004</v>
      </c>
      <c r="D47" s="294"/>
      <c r="E47" s="294">
        <f>C47*'Prac. Rec. Assumptions'!B39</f>
        <v>1692.5669200000002</v>
      </c>
      <c r="F47" s="294">
        <f>($C47*(1+'Biomass Data Assumptions'!G$93))*'Prac. Rec. Assumptions'!$B39</f>
        <v>1696.941460865266</v>
      </c>
      <c r="G47" s="294">
        <f>($C47*(1+'Biomass Data Assumptions'!H$93))*'Prac. Rec. Assumptions'!$B39</f>
        <v>1702.8375811619285</v>
      </c>
      <c r="H47" s="294">
        <f>($C47*(1+'Biomass Data Assumptions'!I$93))*'Prac. Rec. Assumptions'!$B39</f>
        <v>1708.1631091718173</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302.53502300000002</v>
      </c>
      <c r="D48" s="294"/>
      <c r="E48" s="294">
        <f>C48*'Prac. Rec. Assumptions'!B40</f>
        <v>302.53502300000002</v>
      </c>
      <c r="F48" s="294">
        <f>($C48*(1+'Biomass Data Assumptions'!G$93))*'Prac. Rec. Assumptions'!$B40</f>
        <v>303.31694293808295</v>
      </c>
      <c r="G48" s="294">
        <f>($C48*(1+'Biomass Data Assumptions'!H$93))*'Prac. Rec. Assumptions'!$B40</f>
        <v>304.37083502854256</v>
      </c>
      <c r="H48" s="294">
        <f>($C48*(1+'Biomass Data Assumptions'!I$93))*'Prac. Rec. Assumptions'!$B40</f>
        <v>305.32273756186089</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3687.6688630000003</v>
      </c>
      <c r="D49" s="295">
        <f>SUM(D45:D48)</f>
        <v>0</v>
      </c>
      <c r="E49" s="295">
        <f t="shared" si="6"/>
        <v>1995.1019430000001</v>
      </c>
      <c r="F49" s="295">
        <f>SUM(F45:F48)</f>
        <v>2000.258403803349</v>
      </c>
      <c r="G49" s="295">
        <f>SUM(G45:G48)</f>
        <v>2007.2084161904711</v>
      </c>
      <c r="H49" s="295">
        <f>SUM(H45:H48)</f>
        <v>2013.485846733678</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4.5318399999999999</v>
      </c>
      <c r="D52" s="299">
        <f>E52*'Conversion Tables'!C45</f>
        <v>13.381617152</v>
      </c>
      <c r="E52" s="299">
        <f>C52*'Prac. Rec. Assumptions'!B42</f>
        <v>0.90636800000000006</v>
      </c>
      <c r="F52" s="294">
        <f t="shared" ref="F52:H59" si="7">$E52</f>
        <v>0.90636800000000006</v>
      </c>
      <c r="G52" s="294">
        <f t="shared" si="7"/>
        <v>0.90636800000000006</v>
      </c>
      <c r="H52" s="294">
        <f t="shared" si="7"/>
        <v>0.90636800000000006</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G102</f>
        <v>0</v>
      </c>
      <c r="D53" s="299">
        <f>E53*'Conversion Tables'!C46</f>
        <v>0</v>
      </c>
      <c r="E53" s="299">
        <f>C53*'Prac. Rec. Assumptions'!B43</f>
        <v>0</v>
      </c>
      <c r="F53" s="294">
        <f t="shared" si="7"/>
        <v>0</v>
      </c>
      <c r="G53" s="294">
        <f t="shared" si="7"/>
        <v>0</v>
      </c>
      <c r="H53" s="294">
        <f t="shared" si="7"/>
        <v>0</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444.60011250000002</v>
      </c>
      <c r="D54" s="299">
        <f>E54*'Conversion Tables'!C47</f>
        <v>3938.4456365699998</v>
      </c>
      <c r="E54" s="299">
        <f>C54*'Prac. Rec. Assumptions'!B44</f>
        <v>266.76006749999999</v>
      </c>
      <c r="F54" s="294">
        <f t="shared" si="7"/>
        <v>266.76006749999999</v>
      </c>
      <c r="G54" s="294">
        <f t="shared" si="7"/>
        <v>266.76006749999999</v>
      </c>
      <c r="H54" s="294">
        <f t="shared" si="7"/>
        <v>266.76006749999999</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8.0664999999999996</v>
      </c>
      <c r="D55" s="299">
        <f>E55*'Conversion Tables'!C48</f>
        <v>23.818761199999997</v>
      </c>
      <c r="E55" s="299">
        <f>C55*'Prac. Rec. Assumptions'!B45</f>
        <v>1.6133</v>
      </c>
      <c r="F55" s="294">
        <f t="shared" si="7"/>
        <v>1.6133</v>
      </c>
      <c r="G55" s="294">
        <f t="shared" si="7"/>
        <v>1.6133</v>
      </c>
      <c r="H55" s="294">
        <f t="shared" si="7"/>
        <v>1.6133</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7.8840000000000003</v>
      </c>
      <c r="D56" s="299">
        <f>E56*'Conversion Tables'!C49</f>
        <v>23.279875200000003</v>
      </c>
      <c r="E56" s="299">
        <f>C56*'Prac. Rec. Assumptions'!B46</f>
        <v>1.5768000000000002</v>
      </c>
      <c r="F56" s="294">
        <f t="shared" si="7"/>
        <v>1.5768000000000002</v>
      </c>
      <c r="G56" s="294">
        <f t="shared" si="7"/>
        <v>1.5768000000000002</v>
      </c>
      <c r="H56" s="294">
        <f t="shared" si="7"/>
        <v>1.5768000000000002</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729.94524999999999</v>
      </c>
      <c r="D57" s="299">
        <f>E57*'Conversion Tables'!C50</f>
        <v>5388.4558354999999</v>
      </c>
      <c r="E57" s="299">
        <f>C57*'Prac. Rec. Assumptions'!B47</f>
        <v>364.97262499999999</v>
      </c>
      <c r="F57" s="294">
        <f t="shared" si="7"/>
        <v>364.97262499999999</v>
      </c>
      <c r="G57" s="294">
        <f t="shared" si="7"/>
        <v>364.97262499999999</v>
      </c>
      <c r="H57" s="294">
        <f t="shared" si="7"/>
        <v>364.97262499999999</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35.587499999999999</v>
      </c>
      <c r="D58" s="299">
        <f>E58*'Conversion Tables'!C51</f>
        <v>427.04999999999995</v>
      </c>
      <c r="E58" s="299">
        <f>C58*'Prac. Rec. Assumptions'!B48</f>
        <v>35.587499999999999</v>
      </c>
      <c r="F58" s="294">
        <f t="shared" si="7"/>
        <v>35.587499999999999</v>
      </c>
      <c r="G58" s="294">
        <f t="shared" si="7"/>
        <v>35.587499999999999</v>
      </c>
      <c r="H58" s="294">
        <f t="shared" si="7"/>
        <v>35.587499999999999</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0</v>
      </c>
      <c r="D59" s="299">
        <f>E59*'Conversion Tables'!C52</f>
        <v>0</v>
      </c>
      <c r="E59" s="299">
        <f>C59*'Prac. Rec. Assumptions'!B49</f>
        <v>0</v>
      </c>
      <c r="F59" s="294">
        <f t="shared" si="7"/>
        <v>0</v>
      </c>
      <c r="G59" s="294">
        <f t="shared" si="7"/>
        <v>0</v>
      </c>
      <c r="H59" s="294">
        <f t="shared" si="7"/>
        <v>0</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Assumptions'!AE8</f>
        <v>6059.0673769999976</v>
      </c>
      <c r="D60" s="299">
        <f>E60*'Conversion Tables'!C53</f>
        <v>72708.808523999964</v>
      </c>
      <c r="E60" s="299">
        <f>C60*'Prac. Rec. Assumptions'!B50</f>
        <v>6059.0673769999976</v>
      </c>
      <c r="F60" s="294">
        <f>($C60*(1+'Biomass Data Assumptions'!G$93*(4/5)))*'Prac. Rec. Assumptions'!$B50</f>
        <v>6071.5953958489472</v>
      </c>
      <c r="G60" s="294">
        <f>($C60*(1+'Biomass Data Assumptions'!H$93*(9/10)))*'Prac. Rec. Assumptions'!$B50</f>
        <v>6092.1576876553745</v>
      </c>
      <c r="H60" s="294">
        <f>($C60*(1+'Biomass Data Assumptions'!I$93*(14/15)))*'Prac. Rec. Assumptions'!$B50</f>
        <v>6111.1766727920049</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7289.6825794999977</v>
      </c>
      <c r="D61" s="295">
        <f t="shared" ref="D61:H61" si="8">SUM(D52:D60)</f>
        <v>82523.240249621958</v>
      </c>
      <c r="E61" s="295">
        <f t="shared" si="8"/>
        <v>6730.4840374999976</v>
      </c>
      <c r="F61" s="295">
        <f t="shared" si="8"/>
        <v>6743.0120563489472</v>
      </c>
      <c r="G61" s="295">
        <f t="shared" si="8"/>
        <v>6763.5743481553745</v>
      </c>
      <c r="H61" s="295">
        <f t="shared" si="8"/>
        <v>6782.5933332920049</v>
      </c>
      <c r="I61" s="19">
        <f t="shared" ref="I61:P61" si="9">SUM(I52:I60)</f>
        <v>0</v>
      </c>
      <c r="J61" s="19">
        <f t="shared" si="9"/>
        <v>0</v>
      </c>
      <c r="K61" s="19">
        <f t="shared" si="9"/>
        <v>0</v>
      </c>
      <c r="L61" s="19">
        <f t="shared" si="9"/>
        <v>0</v>
      </c>
      <c r="M61" s="19">
        <f t="shared" si="9"/>
        <v>0</v>
      </c>
      <c r="N61" s="19">
        <f t="shared" si="9"/>
        <v>0</v>
      </c>
      <c r="O61" s="19">
        <f t="shared" si="9"/>
        <v>0</v>
      </c>
      <c r="P61" s="19">
        <f t="shared" si="9"/>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Assumptions'!AB8</f>
        <v>321.98156719999997</v>
      </c>
      <c r="D63" s="294">
        <f>E63*'Conversion Tables'!C55</f>
        <v>199306.59009679998</v>
      </c>
      <c r="E63" s="299">
        <f>C63*'Prac. Rec. Assumptions'!B51</f>
        <v>321.98156719999997</v>
      </c>
      <c r="F63" s="294">
        <f>($C63*(1+'Biomass Data Assumptions'!G$93*(4/5)))*'Prac. Rec. Assumptions'!$B51</f>
        <v>322.64731175966733</v>
      </c>
      <c r="G63" s="294">
        <f>($C63*(1+'Biomass Data Assumptions'!H$93*(9/10)))*'Prac. Rec. Assumptions'!$B51</f>
        <v>323.74000119999096</v>
      </c>
      <c r="H63" s="294">
        <f>($C63*(1+'Biomass Data Assumptions'!I$93*(14/15)))*'Prac. Rec. Assumptions'!$B51</f>
        <v>324.75067862934111</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Assumptions'!X8</f>
        <v>1194.1632</v>
      </c>
      <c r="D64" s="300">
        <f>E64*'Conversion Tables'!C56</f>
        <v>604246.57920000004</v>
      </c>
      <c r="E64" s="299">
        <f>C64*'Prac. Rec. Assumptions'!B52</f>
        <v>1194.1632</v>
      </c>
      <c r="F64" s="832">
        <f>($C64*(1+'Biomass Data Assumptions'!G$93*(3/5))*(1+('Biomass Data Assumptions'!C$82-((1+'Biomass Data Assumptions'!$B$82)^2 - 1))))*'Prac. Rec. Assumptions'!$B52</f>
        <v>1195.5278562810452</v>
      </c>
      <c r="G64" s="832">
        <f>($C64*(1+'Biomass Data Assumptions'!H$93*(4/5))*(1+('Biomass Data Assumptions'!D$82-((1+'Biomass Data Assumptions'!$B$82)^2 - 1))))*'Prac. Rec. Assumptions'!$B52</f>
        <v>1198.6572611681706</v>
      </c>
      <c r="H64" s="832">
        <f>($C64*(1+'Biomass Data Assumptions'!I$93*(13/15))*(1+('Biomass Data Assumptions'!E$82-((1+'Biomass Data Assumptions'!$B$82)^2 - 1))))*'Prac. Rec. Assumptions'!$B52</f>
        <v>1201.5764707419853</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1516.1447671999999</v>
      </c>
      <c r="D65" s="295">
        <f>SUM(D63:D64)</f>
        <v>803553.16929680004</v>
      </c>
      <c r="E65" s="295">
        <f t="shared" ref="E65:P65" si="10">SUM(E63:E64)</f>
        <v>1516.1447671999999</v>
      </c>
      <c r="F65" s="295">
        <f>SUM(F63:F64)</f>
        <v>1518.1751680407124</v>
      </c>
      <c r="G65" s="295">
        <f>SUM(G63:G64)</f>
        <v>1522.3972623681616</v>
      </c>
      <c r="H65" s="295">
        <f>SUM(H63:H64)</f>
        <v>1526.3271493713264</v>
      </c>
      <c r="I65" s="19">
        <f t="shared" si="10"/>
        <v>0</v>
      </c>
      <c r="J65" s="19">
        <f t="shared" si="10"/>
        <v>0</v>
      </c>
      <c r="K65" s="19">
        <f t="shared" si="10"/>
        <v>0</v>
      </c>
      <c r="L65" s="19">
        <f t="shared" si="10"/>
        <v>0</v>
      </c>
      <c r="M65" s="19">
        <f t="shared" si="10"/>
        <v>0</v>
      </c>
      <c r="N65" s="19">
        <f t="shared" si="10"/>
        <v>0</v>
      </c>
      <c r="O65" s="19">
        <f t="shared" si="10"/>
        <v>0</v>
      </c>
      <c r="P65" s="19">
        <f t="shared" si="10"/>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65289.158135847931</v>
      </c>
      <c r="D67" s="295">
        <f t="shared" ref="D67" si="11">D61+D65</f>
        <v>886076.40954642196</v>
      </c>
      <c r="E67" s="295">
        <f>E61+(E63*1000000/29487.1582406855)+(E64*1000000/25364.5039539246)</f>
        <v>64729.959593847932</v>
      </c>
      <c r="F67" s="295">
        <f t="shared" ref="F67:H67" si="12">F61+(F63*1000000/29487.1582406855)+(F64*1000000/25364.5039539246)</f>
        <v>64818.866865471296</v>
      </c>
      <c r="G67" s="295">
        <f t="shared" si="12"/>
        <v>64999.862942912019</v>
      </c>
      <c r="H67" s="295">
        <f t="shared" si="12"/>
        <v>65168.247447833026</v>
      </c>
      <c r="I67" s="19">
        <f t="shared" ref="I67:P67" si="13">I61+I65</f>
        <v>0</v>
      </c>
      <c r="J67" s="19">
        <f t="shared" si="13"/>
        <v>0</v>
      </c>
      <c r="K67" s="19">
        <f t="shared" si="13"/>
        <v>0</v>
      </c>
      <c r="L67" s="19">
        <f t="shared" si="13"/>
        <v>0</v>
      </c>
      <c r="M67" s="19">
        <f t="shared" si="13"/>
        <v>0</v>
      </c>
      <c r="N67" s="19">
        <f t="shared" si="13"/>
        <v>0</v>
      </c>
      <c r="O67" s="19">
        <f t="shared" si="13"/>
        <v>0</v>
      </c>
      <c r="P67" s="19">
        <f t="shared" si="13"/>
        <v>0</v>
      </c>
      <c r="Q67" s="19"/>
    </row>
    <row r="68" spans="1:19" customFormat="1" x14ac:dyDescent="0.25">
      <c r="B68" s="270" t="s">
        <v>162</v>
      </c>
      <c r="C68" s="132">
        <f>C11+C29+C43+C49+C67</f>
        <v>611307.40750284784</v>
      </c>
      <c r="D68" s="132"/>
      <c r="E68" s="132">
        <f>E11+E29+E43+E49+E67</f>
        <v>381429.93587644794</v>
      </c>
      <c r="F68" s="132">
        <f>F11+F29+F43+F49+F67</f>
        <v>387481.24991906062</v>
      </c>
      <c r="G68" s="132">
        <f>G11+G29+G43+G49+G67</f>
        <v>394311.09066687513</v>
      </c>
      <c r="H68" s="132">
        <f>H11+H29+H43+H49+H67</f>
        <v>401459.5329937989</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4">SUM(N8:N66)/2</f>
        <v>0</v>
      </c>
      <c r="O69" s="1003">
        <f t="shared" si="14"/>
        <v>0</v>
      </c>
      <c r="P69" s="1003">
        <f t="shared" si="14"/>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150" t="s">
        <v>598</v>
      </c>
      <c r="F73" s="38"/>
      <c r="G73" s="38"/>
      <c r="H73" s="36"/>
      <c r="I73" s="36"/>
      <c r="J73" s="36"/>
      <c r="K73" s="36"/>
      <c r="L73" s="36"/>
      <c r="M73" s="36"/>
      <c r="N73" s="36"/>
      <c r="O73" s="36"/>
      <c r="P73" s="36"/>
      <c r="Q73" s="36"/>
      <c r="R73" s="36"/>
    </row>
    <row r="74" spans="1:19" x14ac:dyDescent="0.25">
      <c r="A74" s="39" t="s">
        <v>519</v>
      </c>
      <c r="B74" s="21">
        <v>0</v>
      </c>
      <c r="C74" s="40">
        <f>'Biomass Data Assumptions'!B38*B74</f>
        <v>0</v>
      </c>
      <c r="D74" s="40">
        <f>(C74*'Biomass Data Assumptions'!C38)/2000</f>
        <v>0</v>
      </c>
      <c r="E74" s="41"/>
      <c r="F74" s="41"/>
      <c r="G74" s="41"/>
      <c r="H74" s="36"/>
      <c r="I74" s="36"/>
      <c r="J74" s="36"/>
      <c r="K74" s="36"/>
      <c r="L74" s="36"/>
      <c r="M74" s="36"/>
      <c r="N74" s="36"/>
      <c r="O74" s="36"/>
      <c r="P74" s="36"/>
      <c r="Q74" s="36"/>
      <c r="R74" s="36"/>
    </row>
    <row r="75" spans="1:19" x14ac:dyDescent="0.25">
      <c r="A75" s="39" t="s">
        <v>520</v>
      </c>
      <c r="B75" s="21">
        <v>1</v>
      </c>
      <c r="C75" s="40">
        <f>'Biomass Data Assumptions'!B39*B75</f>
        <v>27.3</v>
      </c>
      <c r="D75" s="40">
        <f>(C75*'Biomass Data Assumptions'!C39)/2000</f>
        <v>0.76439999999999997</v>
      </c>
      <c r="E75" s="41"/>
      <c r="F75" s="41"/>
      <c r="G75" s="41"/>
      <c r="H75" s="36"/>
      <c r="I75" s="36"/>
      <c r="J75" s="36"/>
      <c r="K75" s="36"/>
      <c r="L75" s="36"/>
      <c r="M75" s="36"/>
      <c r="N75" s="36"/>
      <c r="O75" s="36"/>
      <c r="P75" s="36"/>
      <c r="Q75" s="36"/>
      <c r="R75" s="36"/>
    </row>
    <row r="76" spans="1:19" x14ac:dyDescent="0.25">
      <c r="A76" s="39" t="s">
        <v>521</v>
      </c>
      <c r="B76" s="21">
        <v>1</v>
      </c>
      <c r="C76" s="40">
        <f>'Biomass Data Assumptions'!B40*B76</f>
        <v>125</v>
      </c>
      <c r="D76" s="40">
        <f>(C76*'Biomass Data Assumptions'!C40)/2000</f>
        <v>3.5</v>
      </c>
      <c r="E76" s="41"/>
      <c r="F76" s="41"/>
      <c r="G76" s="41"/>
      <c r="H76" s="36"/>
      <c r="I76" s="36"/>
      <c r="J76" s="36"/>
      <c r="K76" s="36"/>
      <c r="L76" s="36"/>
      <c r="M76" s="36"/>
      <c r="N76" s="36"/>
      <c r="O76" s="36"/>
      <c r="P76" s="36"/>
      <c r="Q76" s="36"/>
      <c r="R76" s="36"/>
    </row>
    <row r="77" spans="1:19" x14ac:dyDescent="0.25">
      <c r="A77" s="39" t="s">
        <v>525</v>
      </c>
      <c r="B77" s="21">
        <v>0</v>
      </c>
      <c r="C77" s="40">
        <f>'Biomass Data Assumptions'!B41*B77</f>
        <v>0</v>
      </c>
      <c r="D77" s="40">
        <f>(C77*'Biomass Data Assumptions'!C41)/2000</f>
        <v>0</v>
      </c>
      <c r="E77" s="41"/>
      <c r="F77" s="41"/>
      <c r="G77" s="41"/>
      <c r="H77" s="36"/>
      <c r="I77" s="36"/>
      <c r="J77" s="36"/>
      <c r="K77" s="36"/>
      <c r="L77" s="36"/>
      <c r="M77" s="36"/>
      <c r="N77" s="36"/>
      <c r="O77" s="36"/>
      <c r="P77" s="36"/>
      <c r="Q77" s="36"/>
      <c r="R77" s="36"/>
    </row>
    <row r="78" spans="1:19" x14ac:dyDescent="0.25">
      <c r="A78" s="39" t="s">
        <v>522</v>
      </c>
      <c r="B78" s="21">
        <v>0</v>
      </c>
      <c r="C78" s="40">
        <f>'Biomass Data Assumptions'!B42*B78</f>
        <v>0</v>
      </c>
      <c r="D78" s="40">
        <f>(C78*'Biomass Data Assumptions'!C42)/2000</f>
        <v>0</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150" t="s">
        <v>598</v>
      </c>
      <c r="F80" s="38"/>
      <c r="G80" s="38"/>
      <c r="H80" s="36"/>
      <c r="I80" s="36"/>
      <c r="J80" s="36"/>
      <c r="K80" s="36"/>
      <c r="L80" s="36"/>
      <c r="M80" s="36"/>
      <c r="N80" s="36"/>
      <c r="O80" s="36"/>
      <c r="P80" s="36"/>
      <c r="Q80" s="36"/>
      <c r="R80" s="36"/>
    </row>
    <row r="81" spans="1:18" x14ac:dyDescent="0.25">
      <c r="A81" s="39" t="s">
        <v>527</v>
      </c>
      <c r="B81" s="21">
        <v>14</v>
      </c>
      <c r="C81" s="40">
        <f>'Biomass Data Assumptions'!B49*B81</f>
        <v>14</v>
      </c>
      <c r="D81" s="40">
        <f>C81*'Energy Content Assumptions'!C11</f>
        <v>11.9</v>
      </c>
      <c r="E81" s="41"/>
      <c r="F81" s="41"/>
      <c r="G81" s="41"/>
      <c r="H81" s="36"/>
      <c r="I81" s="36"/>
      <c r="J81" s="36"/>
      <c r="K81" s="36"/>
      <c r="L81" s="36"/>
      <c r="M81" s="36"/>
      <c r="N81" s="36"/>
      <c r="O81" s="36"/>
      <c r="P81" s="36"/>
      <c r="Q81" s="36"/>
      <c r="R81" s="36"/>
    </row>
    <row r="82" spans="1:18" x14ac:dyDescent="0.25">
      <c r="A82" s="39" t="s">
        <v>520</v>
      </c>
      <c r="B82" s="21">
        <v>1</v>
      </c>
      <c r="C82" s="40">
        <f>'Biomass Data Assumptions'!B50*B82</f>
        <v>2.25</v>
      </c>
      <c r="D82" s="40">
        <f>C82*'Energy Content Assumptions'!C12</f>
        <v>1.9124999999999999</v>
      </c>
      <c r="E82" s="41"/>
      <c r="F82" s="41"/>
      <c r="G82" s="41"/>
      <c r="H82" s="36"/>
      <c r="I82" s="36"/>
      <c r="J82" s="36"/>
      <c r="K82" s="36"/>
      <c r="L82" s="36"/>
      <c r="M82" s="36"/>
      <c r="N82" s="36"/>
      <c r="O82" s="36"/>
      <c r="P82" s="36"/>
      <c r="Q82" s="36"/>
      <c r="R82" s="36"/>
    </row>
    <row r="83" spans="1:18" x14ac:dyDescent="0.25">
      <c r="A83" s="39" t="s">
        <v>521</v>
      </c>
      <c r="B83" s="21">
        <v>1</v>
      </c>
      <c r="C83" s="40">
        <f>'Biomass Data Assumptions'!B51*B83</f>
        <v>2.5</v>
      </c>
      <c r="D83" s="40">
        <f>C83*'Energy Content Assumptions'!C13</f>
        <v>2.125</v>
      </c>
      <c r="E83" s="41"/>
      <c r="F83" s="41"/>
      <c r="G83" s="41"/>
      <c r="H83" s="36"/>
      <c r="I83" s="36"/>
      <c r="J83" s="36"/>
      <c r="K83" s="36"/>
      <c r="L83" s="36"/>
      <c r="M83" s="36"/>
      <c r="N83" s="36"/>
      <c r="O83" s="36"/>
      <c r="P83" s="36"/>
      <c r="Q83" s="36"/>
      <c r="R83" s="36"/>
    </row>
    <row r="84" spans="1:18" x14ac:dyDescent="0.25">
      <c r="A84" s="39" t="s">
        <v>528</v>
      </c>
      <c r="B84" s="21">
        <v>0</v>
      </c>
      <c r="C84" s="40">
        <f>'Biomass Data Assumptions'!B52*B84</f>
        <v>0</v>
      </c>
      <c r="D84" s="40">
        <f>C84*'Energy Content Assumptions'!C14</f>
        <v>0</v>
      </c>
      <c r="E84" s="41"/>
      <c r="F84" s="41"/>
      <c r="G84" s="41"/>
      <c r="H84" s="36"/>
      <c r="I84" s="36"/>
      <c r="J84" s="36"/>
      <c r="K84" s="36"/>
      <c r="L84" s="36"/>
      <c r="M84" s="36"/>
      <c r="N84" s="36"/>
      <c r="O84" s="36"/>
      <c r="P84" s="36"/>
      <c r="Q84" s="36"/>
      <c r="R84" s="36"/>
    </row>
    <row r="85" spans="1:18" x14ac:dyDescent="0.25">
      <c r="A85" s="39" t="s">
        <v>529</v>
      </c>
      <c r="B85" s="21">
        <v>0</v>
      </c>
      <c r="C85" s="40">
        <f>'Biomass Data Assumptions'!B53*B85</f>
        <v>0</v>
      </c>
      <c r="D85" s="40">
        <f>C85*'Energy Content Assumptions'!C15</f>
        <v>0</v>
      </c>
      <c r="E85" s="41"/>
      <c r="F85" s="41"/>
      <c r="G85" s="41"/>
      <c r="H85" s="36"/>
      <c r="I85" s="36"/>
      <c r="J85" s="36"/>
      <c r="K85" s="36"/>
      <c r="L85" s="36"/>
      <c r="M85" s="36"/>
      <c r="N85" s="36"/>
      <c r="O85" s="36"/>
      <c r="P85" s="36"/>
      <c r="Q85" s="36"/>
      <c r="R85" s="36"/>
    </row>
    <row r="86" spans="1:18" x14ac:dyDescent="0.25">
      <c r="A86" s="39" t="s">
        <v>530</v>
      </c>
      <c r="B86" s="21">
        <v>69</v>
      </c>
      <c r="C86" s="40">
        <f>'Biomass Data Assumptions'!B54*B86</f>
        <v>117.3</v>
      </c>
      <c r="D86" s="40">
        <f>C86*'Energy Content Assumptions'!C16</f>
        <v>99.704999999999998</v>
      </c>
      <c r="E86" s="41"/>
      <c r="F86" s="41"/>
      <c r="G86" s="41"/>
      <c r="H86" s="36"/>
      <c r="I86" s="36"/>
      <c r="J86" s="36"/>
      <c r="K86" s="36"/>
      <c r="L86" s="36"/>
      <c r="M86" s="36"/>
      <c r="N86" s="36"/>
      <c r="O86" s="36"/>
      <c r="P86" s="36"/>
      <c r="Q86" s="36"/>
      <c r="R86" s="36"/>
    </row>
    <row r="87" spans="1:18" x14ac:dyDescent="0.25">
      <c r="A87" s="39" t="s">
        <v>522</v>
      </c>
      <c r="B87" s="21">
        <v>0</v>
      </c>
      <c r="C87" s="40">
        <f>'Biomass Data Assumptions'!B55*B87</f>
        <v>0</v>
      </c>
      <c r="D87" s="40">
        <f>C87*'Energy Content Assumptions'!C17</f>
        <v>0</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615</v>
      </c>
      <c r="I92" s="36"/>
      <c r="J92" s="38"/>
      <c r="K92" s="38"/>
      <c r="L92" s="38"/>
      <c r="M92" s="38"/>
      <c r="N92" s="36"/>
      <c r="O92" s="36"/>
      <c r="P92" s="36"/>
      <c r="Q92" s="36"/>
      <c r="R92" s="36"/>
    </row>
    <row r="93" spans="1:18" ht="12" customHeight="1" x14ac:dyDescent="0.25">
      <c r="A93" s="42"/>
      <c r="B93" s="38"/>
      <c r="C93" s="38"/>
      <c r="D93" s="38"/>
      <c r="E93" s="38"/>
      <c r="F93" s="36"/>
      <c r="G93" s="36"/>
      <c r="H93" s="36"/>
      <c r="I93" s="36"/>
      <c r="J93" s="38"/>
      <c r="K93" s="38"/>
      <c r="L93" s="38"/>
      <c r="M93" s="38"/>
      <c r="N93" s="36"/>
      <c r="O93" s="36"/>
      <c r="P93" s="36"/>
      <c r="Q93" s="36"/>
      <c r="R93" s="36"/>
    </row>
    <row r="94" spans="1:18" ht="16.5" hidden="1" customHeight="1" x14ac:dyDescent="0.25">
      <c r="A94" s="43" t="s">
        <v>535</v>
      </c>
      <c r="B94" s="36"/>
      <c r="C94" s="41"/>
      <c r="D94" s="41"/>
      <c r="E94" s="44"/>
      <c r="F94" s="36"/>
      <c r="G94" s="36"/>
      <c r="H94" s="36"/>
      <c r="I94" s="36"/>
      <c r="J94" s="44"/>
      <c r="K94" s="44"/>
      <c r="L94" s="44"/>
      <c r="M94" s="44"/>
      <c r="N94" s="36"/>
      <c r="O94" s="36"/>
      <c r="P94" s="36"/>
      <c r="Q94" s="36"/>
      <c r="R94" s="36"/>
    </row>
    <row r="95" spans="1:18" ht="12.75" hidden="1" customHeight="1" x14ac:dyDescent="0.25">
      <c r="A95" s="45" t="s">
        <v>536</v>
      </c>
      <c r="B95" s="85">
        <v>0</v>
      </c>
      <c r="C95" s="41">
        <f>ROUND('Biomass Data Assumptions'!B59/1000*B95,0)</f>
        <v>0</v>
      </c>
      <c r="D95" s="41">
        <f>'Biomass Data Assumptions'!C59*C95</f>
        <v>0</v>
      </c>
      <c r="E95" s="41">
        <f>('Biomass Data Assumptions'!D59*'Energy Content Assumptions'!C43*D95)/2000</f>
        <v>0</v>
      </c>
      <c r="F95" s="41">
        <f>('Biomass Data Assumptions'!E59*B95*365)/2000</f>
        <v>0</v>
      </c>
      <c r="G95" s="41">
        <f>(F95+E95)</f>
        <v>0</v>
      </c>
      <c r="H95" s="36"/>
      <c r="I95" s="36"/>
      <c r="J95" s="41"/>
      <c r="K95" s="41"/>
      <c r="L95" s="41"/>
      <c r="M95" s="41"/>
      <c r="N95" s="36"/>
      <c r="O95" s="36"/>
      <c r="P95" s="36"/>
      <c r="Q95" s="36"/>
      <c r="R95" s="36"/>
    </row>
    <row r="96" spans="1:18" ht="12.75" hidden="1" customHeight="1" x14ac:dyDescent="0.25">
      <c r="A96" s="45" t="s">
        <v>537</v>
      </c>
      <c r="B96" s="85">
        <v>4</v>
      </c>
      <c r="C96" s="41">
        <f>ROUND('Biomass Data Assumptions'!$B$60/1000*B96,0)</f>
        <v>4</v>
      </c>
      <c r="D96" s="41">
        <f>'Biomass Data Assumptions'!$C$60*C96</f>
        <v>134320</v>
      </c>
      <c r="E96" s="41">
        <f>('Biomass Data Assumptions'!$D$60*'Energy Content Assumptions'!$C$44*D96)/2000</f>
        <v>1.6118400000000002</v>
      </c>
      <c r="F96" s="41">
        <f>('Biomass Data Assumptions'!$E$60*B96*365)/2000</f>
        <v>2.92</v>
      </c>
      <c r="G96" s="41">
        <f>F96+E96</f>
        <v>4.5318399999999999</v>
      </c>
      <c r="H96" s="36"/>
      <c r="I96" s="36"/>
      <c r="J96" s="41"/>
      <c r="K96" s="41"/>
      <c r="L96" s="41"/>
      <c r="M96" s="41"/>
      <c r="N96" s="36"/>
      <c r="O96" s="36"/>
      <c r="P96" s="36"/>
      <c r="Q96" s="36"/>
      <c r="R96" s="36"/>
    </row>
    <row r="97" spans="1:18" x14ac:dyDescent="0.25">
      <c r="A97" s="467" t="s">
        <v>535</v>
      </c>
      <c r="B97" s="85">
        <v>4</v>
      </c>
      <c r="C97" s="41">
        <f>ROUND('Biomass Data Assumptions'!$B$60/1000*B97,0)</f>
        <v>4</v>
      </c>
      <c r="D97" s="41">
        <f>'Biomass Data Assumptions'!$C$60*C97</f>
        <v>134320</v>
      </c>
      <c r="E97" s="41">
        <f>('Biomass Data Assumptions'!$D$60*'Energy Content Assumptions'!$C$44*D97)/2000</f>
        <v>1.6118400000000002</v>
      </c>
      <c r="F97" s="41">
        <f>('Biomass Data Assumptions'!$E$60*B97*365)/2000</f>
        <v>2.92</v>
      </c>
      <c r="G97" s="41">
        <f>F97+E97</f>
        <v>4.5318399999999999</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0</v>
      </c>
      <c r="C100" s="41">
        <f>ROUND('Biomass Data Assumptions'!B62/1000*B100,0)</f>
        <v>0</v>
      </c>
      <c r="D100" s="41">
        <f>'Biomass Data Assumptions'!C62*C100</f>
        <v>0</v>
      </c>
      <c r="E100" s="41">
        <f>('Biomass Data Assumptions'!D62*'Energy Content Assumptions'!C46*D100)/2000</f>
        <v>0</v>
      </c>
      <c r="F100" s="41">
        <f>('Biomass Data Assumptions'!E62*B100*365)/2000</f>
        <v>0</v>
      </c>
      <c r="G100" s="41">
        <f>F100+E100</f>
        <v>0</v>
      </c>
      <c r="H100" s="36"/>
      <c r="I100" s="36"/>
      <c r="J100" s="41"/>
      <c r="K100" s="41"/>
      <c r="L100" s="41"/>
      <c r="M100" s="41"/>
      <c r="N100" s="36"/>
      <c r="O100" s="36"/>
      <c r="P100" s="36"/>
      <c r="Q100" s="36"/>
      <c r="R100" s="36"/>
    </row>
    <row r="101" spans="1:18" hidden="1" x14ac:dyDescent="0.25">
      <c r="A101" s="45" t="s">
        <v>541</v>
      </c>
      <c r="B101" s="85">
        <v>0</v>
      </c>
      <c r="C101" s="41">
        <f>ROUND('Biomass Data Assumptions'!B63/1000*B101,0)</f>
        <v>0</v>
      </c>
      <c r="D101" s="41">
        <f>'Biomass Data Assumptions'!C63*C101</f>
        <v>0</v>
      </c>
      <c r="E101" s="41">
        <f>('Biomass Data Assumptions'!D63*'Energy Content Assumptions'!C47*D101)/2000</f>
        <v>0</v>
      </c>
      <c r="F101" s="41">
        <f>('Biomass Data Assumptions'!E63*B101*365)/2000</f>
        <v>0</v>
      </c>
      <c r="G101" s="41">
        <f>F101+E101</f>
        <v>0</v>
      </c>
      <c r="H101" s="36"/>
      <c r="I101" s="36"/>
      <c r="J101" s="41"/>
      <c r="K101" s="41"/>
      <c r="L101" s="41"/>
      <c r="M101" s="41"/>
      <c r="N101" s="36"/>
      <c r="O101" s="36"/>
      <c r="P101" s="36"/>
      <c r="Q101" s="36"/>
      <c r="R101" s="36"/>
    </row>
    <row r="102" spans="1:18" x14ac:dyDescent="0.25">
      <c r="A102" s="460" t="s">
        <v>604</v>
      </c>
      <c r="B102" s="85">
        <v>0</v>
      </c>
      <c r="C102" s="41">
        <f>ROUND('Biomass Data Assumptions'!B64/1000*B102,0)</f>
        <v>0</v>
      </c>
      <c r="D102" s="41">
        <f>'Biomass Data Assumptions'!C64*C102</f>
        <v>0</v>
      </c>
      <c r="E102" s="41">
        <f>('Biomass Data Assumptions'!D64*'Energy Content Assumptions'!C48*D102)/2000</f>
        <v>0</v>
      </c>
      <c r="F102" s="41">
        <f>'Biomass Data Assumptions'!E64*B102*365/2000</f>
        <v>0</v>
      </c>
      <c r="G102" s="41">
        <f>F102+E102</f>
        <v>0</v>
      </c>
      <c r="H102" s="36"/>
      <c r="I102" s="36"/>
      <c r="J102" s="41"/>
      <c r="K102" s="41"/>
      <c r="L102" s="41"/>
      <c r="M102" s="41"/>
      <c r="N102" s="36"/>
      <c r="O102" s="36"/>
      <c r="P102" s="36"/>
      <c r="Q102" s="36"/>
      <c r="R102" s="36"/>
    </row>
    <row r="103" spans="1:18" ht="15" hidden="1" customHeight="1" x14ac:dyDescent="0.25">
      <c r="A103" s="45" t="s">
        <v>543</v>
      </c>
      <c r="B103" s="85">
        <v>0</v>
      </c>
      <c r="C103" s="41">
        <f>ROUND('Biomass Data Assumptions'!B65/1000*B103,0)</f>
        <v>0</v>
      </c>
      <c r="D103" s="41">
        <f>'Biomass Data Assumptions'!C65*C103</f>
        <v>0</v>
      </c>
      <c r="E103" s="41">
        <f>('Biomass Data Assumptions'!D65*'Energy Content Assumptions'!C49*D103)/2000</f>
        <v>0</v>
      </c>
      <c r="F103" s="41">
        <f>'Biomass Data Assumptions'!E65*B103*365/2000</f>
        <v>0</v>
      </c>
      <c r="G103" s="41">
        <f>F103+E103</f>
        <v>0</v>
      </c>
      <c r="H103" s="36"/>
      <c r="I103" s="36"/>
      <c r="J103" s="41"/>
      <c r="K103" s="41"/>
      <c r="L103" s="41"/>
      <c r="M103" s="41"/>
      <c r="N103" s="36"/>
      <c r="O103" s="36"/>
      <c r="P103" s="36"/>
      <c r="Q103" s="36"/>
      <c r="R103" s="36"/>
    </row>
    <row r="104" spans="1:18" ht="15" customHeight="1" x14ac:dyDescent="0.25">
      <c r="A104" s="46" t="s">
        <v>544</v>
      </c>
      <c r="B104" s="85">
        <f>B100+B102</f>
        <v>0</v>
      </c>
      <c r="C104" s="41">
        <f>C100+C102</f>
        <v>0</v>
      </c>
      <c r="D104" s="41">
        <f t="shared" ref="D104:G104" si="15">D100+D102</f>
        <v>0</v>
      </c>
      <c r="E104" s="41">
        <f t="shared" si="15"/>
        <v>0</v>
      </c>
      <c r="F104" s="41">
        <f t="shared" si="15"/>
        <v>0</v>
      </c>
      <c r="G104" s="41">
        <f t="shared" si="15"/>
        <v>0</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129</v>
      </c>
      <c r="C106" s="41">
        <f>ROUND('Biomass Data Assumptions'!B66/1000*B106,0)</f>
        <v>129</v>
      </c>
      <c r="D106" s="41">
        <f>'Biomass Data Assumptions'!C66*C106</f>
        <v>2613217.5</v>
      </c>
      <c r="E106" s="41">
        <f>('Biomass Data Assumptions'!D66*'Energy Content Assumptions'!C50*D106)/2000</f>
        <v>91.462612500000006</v>
      </c>
      <c r="F106" s="41">
        <f>'Biomass Data Assumptions'!E66*B106*365/2000</f>
        <v>353.13749999999999</v>
      </c>
      <c r="G106" s="41">
        <f>F106+E106</f>
        <v>444.60011250000002</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36</v>
      </c>
      <c r="C108" s="41">
        <f>ROUND('Biomass Data Assumptions'!B67/1000*B108,0)</f>
        <v>4</v>
      </c>
      <c r="D108" s="41">
        <f>'Biomass Data Assumptions'!C67*C108</f>
        <v>59860</v>
      </c>
      <c r="E108" s="41">
        <f>('Biomass Data Assumptions'!D67*'Energy Content Assumptions'!C51*D108)/2000</f>
        <v>1.4964999999999999</v>
      </c>
      <c r="F108" s="41">
        <f>'Biomass Data Assumptions'!E67*B108*365/2000</f>
        <v>6.57</v>
      </c>
      <c r="G108" s="41">
        <f>F108+E108</f>
        <v>8.0664999999999996</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35</v>
      </c>
      <c r="C110" s="41">
        <f>ROUND('Biomass Data Assumptions'!B68/1000*B110,0)</f>
        <v>4</v>
      </c>
      <c r="D110" s="41">
        <f>'Biomass Data Assumptions'!C68*C110</f>
        <v>59860</v>
      </c>
      <c r="E110" s="41">
        <f>('Biomass Data Assumptions'!D68*'Energy Content Assumptions'!C52*D110)/2000</f>
        <v>1.4964999999999999</v>
      </c>
      <c r="F110" s="41">
        <f>'Biomass Data Assumptions'!E68*B110*365/2000</f>
        <v>6.3875000000000002</v>
      </c>
      <c r="G110" s="41">
        <f>F110+E110</f>
        <v>7.8840000000000003</v>
      </c>
      <c r="H110" s="36"/>
      <c r="I110" s="36"/>
      <c r="J110" s="41"/>
      <c r="K110" s="41"/>
      <c r="L110" s="41"/>
      <c r="M110" s="41"/>
      <c r="N110" s="36"/>
      <c r="O110" s="36"/>
      <c r="P110" s="36"/>
      <c r="Q110" s="36"/>
      <c r="R110" s="36"/>
    </row>
    <row r="111" spans="1:18" ht="12" customHeight="1"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t="15" hidden="1" customHeight="1" x14ac:dyDescent="0.25">
      <c r="A113" s="45"/>
      <c r="B113" s="85"/>
      <c r="C113" s="41"/>
      <c r="D113" s="41"/>
      <c r="E113" s="41"/>
      <c r="F113" s="41"/>
      <c r="G113" s="41"/>
      <c r="H113" s="36"/>
      <c r="I113" s="36"/>
      <c r="J113" s="41"/>
      <c r="K113" s="41"/>
      <c r="L113" s="41"/>
      <c r="M113" s="41"/>
      <c r="N113" s="36"/>
      <c r="O113" s="36"/>
      <c r="P113" s="36"/>
      <c r="Q113" s="36"/>
      <c r="R113" s="36"/>
    </row>
    <row r="114" spans="1:18" ht="15" hidden="1" customHeight="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4255</v>
      </c>
      <c r="C115" s="41">
        <f>ROUND('Biomass Data Assumptions'!$B$71/1000*B115,0)</f>
        <v>1702</v>
      </c>
      <c r="D115" s="41">
        <f>'Biomass Data Assumptions'!$C$71*C115</f>
        <v>29197810</v>
      </c>
      <c r="E115" s="41">
        <f>('Biomass Data Assumptions'!$D$71*'Energy Content Assumptions'!$C$55*D115)/2000</f>
        <v>729.94524999999999</v>
      </c>
      <c r="F115" s="41">
        <f>'Biomass Data Assumptions'!$E$71*B115*365/2000</f>
        <v>0</v>
      </c>
      <c r="G115" s="41">
        <f>F115+E115</f>
        <v>729.94524999999999</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129+775+3078</f>
        <v>3982</v>
      </c>
      <c r="C117" s="41">
        <f>ROUND('Biomass Data Assumptions'!B72/1000*B117,0)</f>
        <v>20</v>
      </c>
      <c r="D117" s="41">
        <f>'Biomass Data Assumptions'!C72*C117</f>
        <v>365000</v>
      </c>
      <c r="E117" s="41">
        <f>('Biomass Data Assumptions'!D72*'Energy Content Assumptions'!C56*D117)/2000</f>
        <v>35.587499999999999</v>
      </c>
      <c r="F117" s="41">
        <f>'Biomass Data Assumptions'!E72*B117*365/2000</f>
        <v>0</v>
      </c>
      <c r="G117" s="41">
        <f>F117+E117</f>
        <v>35.587499999999999</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0</v>
      </c>
      <c r="C119" s="41">
        <f>ROUND('Biomass Data Assumptions'!B73/1000*B119,0)</f>
        <v>0</v>
      </c>
      <c r="D119" s="41">
        <f>'Biomass Data Assumptions'!C73*C119</f>
        <v>0</v>
      </c>
      <c r="E119" s="41">
        <f>('Biomass Data Assumptions'!D73*'Energy Content Assumptions'!C57*D119)/2000</f>
        <v>0</v>
      </c>
      <c r="F119" s="41">
        <f>'Biomass Data Assumptions'!E73*B119*365/2000</f>
        <v>0</v>
      </c>
      <c r="G119" s="41">
        <f>F119+E119</f>
        <v>0</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6">B97+B104+B106+B108+B110+B115+B117+B119</f>
        <v>8441</v>
      </c>
      <c r="C121" s="48">
        <f t="shared" si="16"/>
        <v>1863</v>
      </c>
      <c r="D121" s="48">
        <f t="shared" si="16"/>
        <v>32430067.5</v>
      </c>
      <c r="E121" s="48">
        <f t="shared" si="16"/>
        <v>861.60020249999991</v>
      </c>
      <c r="F121" s="48">
        <f t="shared" si="16"/>
        <v>369.01499999999999</v>
      </c>
      <c r="G121" s="48">
        <f t="shared" si="16"/>
        <v>1230.6152025000001</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6" t="s">
        <v>1012</v>
      </c>
      <c r="E123" s="36"/>
      <c r="F123" s="36"/>
      <c r="G123" s="36"/>
      <c r="H123" s="36"/>
      <c r="I123" s="36"/>
      <c r="J123" s="36"/>
      <c r="K123" s="36"/>
      <c r="L123" s="36"/>
      <c r="M123" s="36"/>
      <c r="N123" s="36"/>
      <c r="O123" s="36"/>
      <c r="P123" s="36"/>
      <c r="Q123" s="36"/>
      <c r="R123" s="36"/>
    </row>
    <row r="124" spans="1:18" x14ac:dyDescent="0.25">
      <c r="A124" s="50" t="s">
        <v>555</v>
      </c>
      <c r="B124" s="87">
        <v>85566.16</v>
      </c>
      <c r="C124" s="543">
        <f>B124*'Energy Content Assumptions'!C33</f>
        <v>77009.544000000009</v>
      </c>
      <c r="D124" s="36"/>
      <c r="E124" s="36"/>
      <c r="F124" s="36"/>
      <c r="G124" s="36"/>
      <c r="H124" s="36"/>
      <c r="I124" s="36"/>
      <c r="J124" s="36"/>
      <c r="K124" s="36"/>
      <c r="L124" s="36"/>
      <c r="M124" s="36"/>
      <c r="N124" s="36"/>
      <c r="O124" s="36"/>
      <c r="P124" s="36"/>
      <c r="Q124" s="36"/>
      <c r="R124" s="36"/>
    </row>
    <row r="125" spans="1:18" x14ac:dyDescent="0.25">
      <c r="A125" s="50" t="s">
        <v>556</v>
      </c>
      <c r="B125" s="87">
        <v>24776.44</v>
      </c>
      <c r="C125" s="543">
        <f>B125*'Energy Content Assumptions'!C34</f>
        <v>22298.795999999998</v>
      </c>
      <c r="D125" s="36"/>
      <c r="E125" s="36"/>
      <c r="F125" s="36"/>
      <c r="G125" s="36"/>
      <c r="H125" s="36"/>
      <c r="I125" s="36"/>
      <c r="J125" s="36"/>
      <c r="K125" s="36"/>
      <c r="L125" s="36"/>
      <c r="M125" s="36"/>
      <c r="N125" s="36"/>
      <c r="O125" s="36"/>
      <c r="P125" s="36"/>
      <c r="Q125" s="36"/>
      <c r="R125" s="36"/>
    </row>
    <row r="126" spans="1:18" x14ac:dyDescent="0.25">
      <c r="A126" s="50" t="s">
        <v>557</v>
      </c>
      <c r="B126" s="87">
        <v>39421.89</v>
      </c>
      <c r="C126" s="543">
        <f>B126*'Energy Content Assumptions'!C35</f>
        <v>35479.701000000001</v>
      </c>
      <c r="D126" s="36"/>
      <c r="E126" s="36"/>
      <c r="F126" s="36"/>
      <c r="G126" s="36"/>
      <c r="H126" s="36"/>
      <c r="I126" s="36"/>
      <c r="J126" s="36"/>
      <c r="K126" s="36"/>
      <c r="L126" s="36"/>
      <c r="M126" s="36"/>
      <c r="N126" s="36"/>
      <c r="O126" s="36"/>
      <c r="P126" s="36"/>
      <c r="Q126" s="36"/>
      <c r="R126" s="36"/>
    </row>
    <row r="127" spans="1:18" x14ac:dyDescent="0.25">
      <c r="A127" s="50" t="s">
        <v>558</v>
      </c>
      <c r="B127" s="87">
        <v>17791.97</v>
      </c>
      <c r="C127" s="543">
        <f>B127*'Energy Content Assumptions'!C36</f>
        <v>16012.773000000001</v>
      </c>
      <c r="D127" s="36"/>
      <c r="E127" s="36"/>
      <c r="F127" s="36"/>
      <c r="G127" s="36"/>
      <c r="H127" s="36"/>
      <c r="I127" s="36"/>
      <c r="J127" s="36"/>
      <c r="K127" s="36"/>
      <c r="L127" s="36"/>
      <c r="M127" s="36"/>
      <c r="N127" s="36"/>
      <c r="O127" s="36"/>
      <c r="P127" s="36"/>
      <c r="Q127" s="36"/>
      <c r="R127" s="36"/>
    </row>
    <row r="128" spans="1:18" x14ac:dyDescent="0.25">
      <c r="A128" s="50" t="s">
        <v>559</v>
      </c>
      <c r="B128" s="87">
        <v>48945.4</v>
      </c>
      <c r="C128" s="543">
        <f>B128*'Energy Content Assumptions'!C21</f>
        <v>24472.7</v>
      </c>
      <c r="D128" s="36"/>
      <c r="E128" s="36"/>
      <c r="F128" s="36"/>
      <c r="G128" s="36"/>
      <c r="H128" s="36"/>
      <c r="I128" s="36"/>
      <c r="J128" s="36"/>
      <c r="K128" s="36"/>
      <c r="L128" s="36"/>
      <c r="M128" s="36"/>
      <c r="N128" s="36"/>
      <c r="O128" s="36"/>
      <c r="P128" s="36"/>
      <c r="Q128" s="36"/>
      <c r="R128" s="36"/>
    </row>
    <row r="129" spans="1:18" x14ac:dyDescent="0.25">
      <c r="A129" s="50" t="s">
        <v>560</v>
      </c>
      <c r="B129" s="87">
        <v>22710.05</v>
      </c>
      <c r="C129" s="543">
        <f>B129*'Energy Content Assumptions'!C22</f>
        <v>7570.0166666666664</v>
      </c>
      <c r="D129" s="36"/>
      <c r="E129" s="36"/>
      <c r="F129" s="36"/>
      <c r="G129" s="36"/>
      <c r="H129" s="36"/>
      <c r="I129" s="36"/>
      <c r="J129" s="36"/>
      <c r="K129" s="36"/>
      <c r="L129" s="36"/>
      <c r="M129" s="36"/>
      <c r="N129" s="36"/>
      <c r="O129" s="36"/>
      <c r="P129" s="36"/>
      <c r="Q129" s="36"/>
      <c r="R129" s="36"/>
    </row>
    <row r="130" spans="1:18" x14ac:dyDescent="0.25">
      <c r="A130" s="50" t="s">
        <v>561</v>
      </c>
      <c r="B130" s="87">
        <v>140814.64000000001</v>
      </c>
      <c r="C130" s="543">
        <f>B130*'Energy Content Assumptions'!C23</f>
        <v>46938.213333333333</v>
      </c>
      <c r="D130" s="36"/>
      <c r="E130" s="36"/>
      <c r="F130" s="36"/>
      <c r="G130" s="36"/>
      <c r="H130" s="36"/>
      <c r="I130" s="36"/>
      <c r="J130" s="36"/>
      <c r="K130" s="36"/>
      <c r="L130" s="36"/>
      <c r="M130" s="36"/>
      <c r="N130" s="36"/>
      <c r="O130" s="36"/>
      <c r="P130" s="36"/>
      <c r="Q130" s="36"/>
      <c r="R130" s="36"/>
    </row>
    <row r="131" spans="1:18" x14ac:dyDescent="0.25">
      <c r="A131" s="50" t="s">
        <v>562</v>
      </c>
      <c r="B131" s="87">
        <v>2963.49</v>
      </c>
      <c r="C131" s="543">
        <f>B131*'Energy Content Assumptions'!C24</f>
        <v>1481.7449999999999</v>
      </c>
      <c r="D131" s="36"/>
      <c r="E131" s="36"/>
      <c r="F131" s="36"/>
      <c r="G131" s="36"/>
      <c r="H131" s="36"/>
      <c r="I131" s="36"/>
      <c r="J131" s="36"/>
      <c r="K131" s="36"/>
      <c r="L131" s="36"/>
      <c r="M131" s="36"/>
      <c r="N131" s="36"/>
      <c r="O131" s="36"/>
      <c r="P131" s="36"/>
      <c r="Q131" s="36"/>
      <c r="R131" s="36"/>
    </row>
    <row r="132" spans="1:18" x14ac:dyDescent="0.25">
      <c r="A132" s="50" t="s">
        <v>563</v>
      </c>
      <c r="B132" s="87">
        <v>18757.25</v>
      </c>
      <c r="C132" s="543">
        <f>B132*'Energy Content Assumptions'!C31</f>
        <v>4689.3125</v>
      </c>
      <c r="D132" s="36"/>
      <c r="E132" s="36"/>
      <c r="F132" s="36"/>
      <c r="G132" s="36"/>
      <c r="H132" s="36"/>
      <c r="I132" s="36"/>
      <c r="J132" s="36"/>
      <c r="K132" s="36"/>
      <c r="L132" s="36"/>
      <c r="M132" s="36"/>
      <c r="N132" s="36"/>
      <c r="O132" s="36"/>
      <c r="P132" s="36"/>
      <c r="Q132" s="36"/>
      <c r="R132" s="36"/>
    </row>
    <row r="133" spans="1:18" x14ac:dyDescent="0.25">
      <c r="A133" s="50" t="s">
        <v>564</v>
      </c>
      <c r="B133" s="87">
        <v>1503.78</v>
      </c>
      <c r="C133" s="543">
        <f>B133*'Energy Content Assumptions'!C19</f>
        <v>1353.402</v>
      </c>
      <c r="D133" s="36"/>
      <c r="E133" s="36"/>
      <c r="F133" s="36"/>
      <c r="G133" s="36"/>
      <c r="H133" s="36"/>
      <c r="I133" s="36"/>
      <c r="J133" s="36"/>
      <c r="K133" s="36"/>
      <c r="L133" s="36"/>
      <c r="M133" s="36"/>
      <c r="N133" s="36"/>
      <c r="O133" s="36"/>
      <c r="P133" s="36"/>
      <c r="Q133" s="36"/>
      <c r="R133" s="36"/>
    </row>
    <row r="134" spans="1:18" x14ac:dyDescent="0.25">
      <c r="A134" s="50" t="s">
        <v>565</v>
      </c>
      <c r="B134" s="87">
        <v>14183.8</v>
      </c>
      <c r="C134" s="543">
        <f>B134*'Energy Content Assumptions'!C32</f>
        <v>11347.04</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Assumptions'!$M$8</f>
        <v>1092372.81</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Assumptions'!$F$8</f>
        <v>609889.30000000005</v>
      </c>
      <c r="C138" s="543">
        <f>B138*'Energy Content Assumptions'!$C$28</f>
        <v>304944.65000000002</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Assumptions'!$H$8</f>
        <v>63469.9</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Assumptions'!$I$8</f>
        <v>546419.4</v>
      </c>
      <c r="C140" s="543">
        <f>B140*'Energy Content Assumptions'!$C$28</f>
        <v>273209.7</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Assumptions'!J8,'Biomass Data Assumptions'!F8*'Biomass Data Assumptions'!I41)</f>
        <v>86443.549080000012</v>
      </c>
      <c r="C141" s="543">
        <f>B141*'Energy Content Assumptions'!C26</f>
        <v>25933.064724000003</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Assumptions'!K8,'Biomass Data Assumptions'!F8*'Biomass Data Assumptions'!I42)</f>
        <v>106278.5733</v>
      </c>
      <c r="C142" s="543">
        <f>B142*'Energy Content Assumptions'!C27</f>
        <v>95650.715970000005</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Assumptions'!L8,'Biomass Data Assumptions'!F8*'Biomass Data Assumptions'!I43)</f>
        <v>147150.74442</v>
      </c>
      <c r="C143" s="543">
        <f>B143*'Energy Content Assumptions'!$C$28</f>
        <v>73575.372210000001</v>
      </c>
      <c r="D143" s="546" t="s">
        <v>1064</v>
      </c>
      <c r="E143" s="36"/>
      <c r="F143" s="36"/>
      <c r="G143" s="36"/>
      <c r="H143" s="36"/>
      <c r="I143" s="36"/>
      <c r="J143" s="36"/>
      <c r="K143" s="36"/>
      <c r="L143" s="36"/>
      <c r="M143" s="36"/>
      <c r="N143" s="36"/>
      <c r="O143" s="36"/>
      <c r="P143" s="36"/>
      <c r="Q143" s="36"/>
      <c r="R143" s="36"/>
    </row>
    <row r="144" spans="1:18" x14ac:dyDescent="0.25">
      <c r="A144" s="50" t="s">
        <v>463</v>
      </c>
      <c r="B144" s="87">
        <v>270602.81</v>
      </c>
      <c r="C144" s="543">
        <f>B144*'Energy Content Assumptions'!C29</f>
        <v>216482.24800000002</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86592.899200000014</v>
      </c>
      <c r="D145" s="36" t="s">
        <v>1202</v>
      </c>
      <c r="E145" s="36"/>
      <c r="F145" s="36"/>
      <c r="G145" s="36"/>
      <c r="H145" s="36"/>
      <c r="I145" s="36"/>
      <c r="J145" s="36"/>
      <c r="K145" s="36"/>
      <c r="L145" s="36"/>
      <c r="M145" s="36"/>
      <c r="N145" s="36"/>
      <c r="O145" s="36"/>
      <c r="P145" s="36"/>
      <c r="Q145" s="36"/>
      <c r="R145" s="36"/>
    </row>
    <row r="146" spans="1:18" x14ac:dyDescent="0.25">
      <c r="A146" s="711"/>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Assumptions'!R8/2000</f>
        <v>3982.5104000000006</v>
      </c>
      <c r="C148" s="1239">
        <f>B148*'Energy Content Assumptions'!C39</f>
        <v>3385.1338400000004</v>
      </c>
      <c r="D148" s="150" t="s">
        <v>1567</v>
      </c>
      <c r="E148" s="36"/>
      <c r="F148" s="36"/>
      <c r="G148" s="36"/>
      <c r="H148" s="36"/>
      <c r="I148" s="36"/>
      <c r="J148" s="36"/>
      <c r="K148" s="36"/>
      <c r="L148" s="36"/>
      <c r="M148" s="36"/>
      <c r="N148" s="36"/>
      <c r="O148" s="36"/>
      <c r="P148" s="36"/>
      <c r="Q148" s="36"/>
      <c r="R148" s="36"/>
    </row>
    <row r="149" spans="1:18" x14ac:dyDescent="0.25">
      <c r="A149" s="1236" t="s">
        <v>509</v>
      </c>
      <c r="B149" s="549">
        <f>'Biomass Data Assumptions'!S8/2000</f>
        <v>6050.70046</v>
      </c>
      <c r="C149" s="1239">
        <f>B149*'Energy Content Assumptions'!C40</f>
        <v>302.53502300000002</v>
      </c>
      <c r="D149" s="150" t="s">
        <v>1566</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457"/>
      <c r="C154" s="457"/>
      <c r="D154" s="457"/>
      <c r="E154" s="457"/>
      <c r="F154" s="457"/>
      <c r="G154" s="457"/>
      <c r="H154" s="457"/>
      <c r="I154" s="457"/>
      <c r="J154" s="457"/>
      <c r="K154" s="457"/>
      <c r="L154" s="457"/>
      <c r="M154" s="457"/>
      <c r="N154" s="457"/>
      <c r="O154" s="457"/>
      <c r="P154" s="457"/>
      <c r="Q154" s="457"/>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L11" formulaRange="1"/>
    <ignoredError sqref="D6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S199"/>
  <sheetViews>
    <sheetView topLeftCell="A115" zoomScale="70" zoomScaleNormal="75"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449</v>
      </c>
      <c r="E1" s="412" t="s">
        <v>433</v>
      </c>
      <c r="I1" s="1192" t="str">
        <f>'Bioenergy Calculator'!B3</f>
        <v>None</v>
      </c>
      <c r="J1" s="1193"/>
      <c r="K1" s="1193"/>
      <c r="L1" s="1194"/>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502.81</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1787.9316000000001</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24916.5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4882.68</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32089.921600000001</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1056.55</v>
      </c>
      <c r="D15" s="294">
        <f>E15*'Conversion Tables'!C14</f>
        <v>13297.31568</v>
      </c>
      <c r="E15" s="294">
        <f>C15*'Prac. Rec. Assumptions'!B11</f>
        <v>845.24</v>
      </c>
      <c r="F15" s="294">
        <f>$E15</f>
        <v>845.24</v>
      </c>
      <c r="G15" s="294">
        <f>$E15</f>
        <v>845.24</v>
      </c>
      <c r="H15" s="294">
        <f>$E15</f>
        <v>845.24</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5953.6125000000002</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15127.875</v>
      </c>
      <c r="D17" s="294">
        <f>E17*'Conversion Tables'!C16</f>
        <v>202292.97007499999</v>
      </c>
      <c r="E17" s="294">
        <f>C17*'Prac. Rec. Assumptions'!B13</f>
        <v>12858.69375</v>
      </c>
      <c r="F17" s="294">
        <f t="shared" si="2"/>
        <v>12858.69375</v>
      </c>
      <c r="G17" s="294">
        <f t="shared" si="2"/>
        <v>12858.69375</v>
      </c>
      <c r="H17" s="294">
        <f t="shared" si="2"/>
        <v>12858.69375</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4746.9799999999996</v>
      </c>
      <c r="D18" s="294">
        <f>E18*'Conversion Tables'!C17</f>
        <v>56009.617019999991</v>
      </c>
      <c r="E18" s="294">
        <f>C18*'Prac. Rec. Assumptions'!B14</f>
        <v>3560.2349999999997</v>
      </c>
      <c r="F18" s="294">
        <f t="shared" si="2"/>
        <v>3560.2349999999997</v>
      </c>
      <c r="G18" s="294">
        <f t="shared" si="2"/>
        <v>3560.2349999999997</v>
      </c>
      <c r="H18" s="294">
        <f t="shared" si="2"/>
        <v>3560.2349999999997</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4420</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6509.7249999999995</v>
      </c>
      <c r="D20" s="294">
        <f>E20*'Conversion Tables'!C19</f>
        <v>50775.854999999996</v>
      </c>
      <c r="E20" s="294">
        <f>C20*'Prac. Rec. Assumptions'!B16</f>
        <v>3254.8624999999997</v>
      </c>
      <c r="F20" s="294">
        <f t="shared" si="2"/>
        <v>3254.8624999999997</v>
      </c>
      <c r="G20" s="294">
        <f t="shared" si="2"/>
        <v>3254.8624999999997</v>
      </c>
      <c r="H20" s="294">
        <f t="shared" si="2"/>
        <v>3254.8624999999997</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4544.3125</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Assumptions'!P9*1000*'Energy Content Assumptions'!C18</f>
        <v>127223</v>
      </c>
      <c r="D22" s="294">
        <f>E22*'Conversion Tables'!C21</f>
        <v>992339.4</v>
      </c>
      <c r="E22" s="294">
        <f>C22*'Prac. Rec. Assumptions'!B18</f>
        <v>63611.5</v>
      </c>
      <c r="F22" s="294">
        <f t="shared" si="2"/>
        <v>63611.5</v>
      </c>
      <c r="G22" s="294">
        <f t="shared" si="2"/>
        <v>63611.5</v>
      </c>
      <c r="H22" s="294">
        <f t="shared" si="2"/>
        <v>63611.5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13.56</v>
      </c>
      <c r="D23" s="294">
        <f>E23*'Conversion Tables'!C22</f>
        <v>221.51615999999999</v>
      </c>
      <c r="E23" s="294">
        <f>C23*'Prac. Rec. Assumptions'!B19</f>
        <v>13.56</v>
      </c>
      <c r="F23" s="297">
        <f t="shared" si="2"/>
        <v>13.56</v>
      </c>
      <c r="G23" s="297">
        <f t="shared" si="2"/>
        <v>13.56</v>
      </c>
      <c r="H23" s="297">
        <f t="shared" si="2"/>
        <v>13.56</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27440.83</v>
      </c>
      <c r="D25" s="294">
        <f>E25*'Conversion Tables'!C24</f>
        <v>485702.69099999999</v>
      </c>
      <c r="E25" s="294">
        <f>C25*'Prac. Rec. Assumptions'!B21</f>
        <v>27440.83</v>
      </c>
      <c r="F25" s="294">
        <f>($C25*(1+'Biomass Data Assumptions'!G$94))*'Prac. Rec. Assumptions'!$B21</f>
        <v>28204.615167227836</v>
      </c>
      <c r="G25" s="294">
        <f>($C25*(1+'Biomass Data Assumptions'!H$94))*'Prac. Rec. Assumptions'!$B21</f>
        <v>29165.506184062851</v>
      </c>
      <c r="H25" s="294">
        <f>($C25*(1+'Biomass Data Assumptions'!I$94))*'Prac. Rec. Assumptions'!$B21</f>
        <v>29830.738426487096</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300.70333333333332</v>
      </c>
      <c r="D26" s="294">
        <f>E26*'Conversion Tables'!C25</f>
        <v>4690.9719999999998</v>
      </c>
      <c r="E26" s="294">
        <f>C26*'Prac. Rec. Assumptions'!B22</f>
        <v>300.70333333333332</v>
      </c>
      <c r="F26" s="294">
        <f>($C26*(1+'Biomass Data Assumptions'!G$94))*'Prac. Rec. Assumptions'!$B22</f>
        <v>309.07307818930042</v>
      </c>
      <c r="G26" s="294">
        <f>($C26*(1+'Biomass Data Assumptions'!H$94))*'Prac. Rec. Assumptions'!$B22</f>
        <v>319.60275720164606</v>
      </c>
      <c r="H26" s="294">
        <f>($C26*(1+'Biomass Data Assumptions'!I$94))*'Prac. Rec. Assumptions'!$B22</f>
        <v>326.89253497942389</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16737.106666666667</v>
      </c>
      <c r="D27" s="294">
        <f>E27*'Conversion Tables'!C26</f>
        <v>261098.864</v>
      </c>
      <c r="E27" s="294">
        <f>C27*'Prac. Rec. Assumptions'!B23</f>
        <v>16737.106666666667</v>
      </c>
      <c r="F27" s="294">
        <f>($C27*(1+'Biomass Data Assumptions'!G$94))*'Prac. Rec. Assumptions'!$B23</f>
        <v>17202.965527871307</v>
      </c>
      <c r="G27" s="294">
        <f>($C27*(1+'Biomass Data Assumptions'!H$94))*'Prac. Rec. Assumptions'!$B23</f>
        <v>17789.046030677142</v>
      </c>
      <c r="H27" s="294">
        <f>($C27*(1+'Biomass Data Assumptions'!I$94))*'Prac. Rec. Assumptions'!$B23</f>
        <v>18194.794071081185</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735.83500000000004</v>
      </c>
      <c r="D28" s="294">
        <f>E28*'Conversion Tables'!C27</f>
        <v>13024.279500000001</v>
      </c>
      <c r="E28" s="294">
        <f>C28*'Prac. Rec. Assumptions'!B24</f>
        <v>735.83500000000004</v>
      </c>
      <c r="F28" s="294">
        <f>($C28*(1+'Biomass Data Assumptions'!G$94))*'Prac. Rec. Assumptions'!$B24</f>
        <v>756.31615375982051</v>
      </c>
      <c r="G28" s="294">
        <f>($C28*(1+'Biomass Data Assumptions'!H$94))*'Prac. Rec. Assumptions'!$B24</f>
        <v>782.08276655443319</v>
      </c>
      <c r="H28" s="294">
        <f>($C28*(1+'Biomass Data Assumptions'!I$94))*'Prac. Rec. Assumptions'!$B24</f>
        <v>799.92119079685756</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214810.09</v>
      </c>
      <c r="D29" s="295">
        <f>SUM(D13:D28)</f>
        <v>2079453.480435</v>
      </c>
      <c r="E29" s="295">
        <f t="shared" si="3"/>
        <v>129358.56625000002</v>
      </c>
      <c r="F29" s="295">
        <f>SUM(F13:F28)</f>
        <v>130617.06117704826</v>
      </c>
      <c r="G29" s="295">
        <f>SUM(G13:G28)</f>
        <v>132200.32898849607</v>
      </c>
      <c r="H29" s="295">
        <f>SUM(H13:H28)</f>
        <v>133296.43747334456</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15554.725354499999</v>
      </c>
      <c r="D32" s="294">
        <f>E32*'Conversion Tables'!C29</f>
        <v>149325.3634032</v>
      </c>
      <c r="E32" s="294">
        <f>C32*'Prac. Rec. Assumptions'!B26</f>
        <v>9332.8352126999998</v>
      </c>
      <c r="F32" s="294">
        <f>($C32*(1+'Biomass Data Assumptions'!G$94)*(1+'Biomass Data Assumptions'!C$82))*'Prac. Rec. Assumptions'!$B26</f>
        <v>9586.0911816261596</v>
      </c>
      <c r="G32" s="294">
        <f>($C32*(1+'Biomass Data Assumptions'!H$94)*(1+'Biomass Data Assumptions'!D$82))*'Prac. Rec. Assumptions'!$B26</f>
        <v>9905.9451340827181</v>
      </c>
      <c r="H32" s="294">
        <f>($C32*(1+'Biomass Data Assumptions'!I$94)*(1+'Biomass Data Assumptions'!E$82))*'Prac. Rec. Assumptions'!$B26</f>
        <v>10125.00920533771</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46664.176063499996</v>
      </c>
      <c r="D33" s="294">
        <f>E33*'Conversion Tables'!C30</f>
        <v>542125.73183531757</v>
      </c>
      <c r="E33" s="294">
        <f>C33*'Prac. Rec. Assumptions'!B27</f>
        <v>37331.340850799999</v>
      </c>
      <c r="F33" s="294">
        <f>($C33*(1+'Biomass Data Assumptions'!G$94)*(1+'Biomass Data Assumptions'!C$82))*'Prac. Rec. Assumptions'!$B27</f>
        <v>38344.364726504631</v>
      </c>
      <c r="G33" s="294">
        <f>($C33*(1+'Biomass Data Assumptions'!H$94)*(1+'Biomass Data Assumptions'!D$82))*'Prac. Rec. Assumptions'!$B27</f>
        <v>39623.780536330865</v>
      </c>
      <c r="H33" s="294">
        <f>($C33*(1+'Biomass Data Assumptions'!I$94)*(1+'Biomass Data Assumptions'!E$82))*'Prac. Rec. Assumptions'!$B27</f>
        <v>40500.036821350841</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35894.494755499989</v>
      </c>
      <c r="D34" s="294">
        <f>E34*'Conversion Tables'!C31</f>
        <v>375307.09404434706</v>
      </c>
      <c r="E34" s="294">
        <f>C34*'Prac. Rec. Assumptions'!B28</f>
        <v>25844.036223959996</v>
      </c>
      <c r="F34" s="294">
        <f>($C34*(1+'Biomass Data Assumptions'!G$94)*(1+'Biomass Data Assumptions'!C$82))*'Prac. Rec. Assumptions'!$B28</f>
        <v>26545.340413490216</v>
      </c>
      <c r="G34" s="294">
        <f>($C34*(1+'Biomass Data Assumptions'!H$94)*(1+'Biomass Data Assumptions'!D$82))*'Prac. Rec. Assumptions'!$B28</f>
        <v>27431.06452039563</v>
      </c>
      <c r="H34" s="294">
        <f>($C34*(1+'Biomass Data Assumptions'!I$94)*(1+'Biomass Data Assumptions'!E$82))*'Prac. Rec. Assumptions'!$B28</f>
        <v>28037.686159356763</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23711.446400000004</v>
      </c>
      <c r="D35" s="294">
        <f>E35*'Conversion Tables'!C32</f>
        <v>268603.26481920009</v>
      </c>
      <c r="E35" s="294">
        <f>C35*'Prac. Rec. Assumptions'!B29</f>
        <v>15175.325696000005</v>
      </c>
      <c r="F35" s="294">
        <f>($C35*(1+'Biomass Data Assumptions'!G$94)*(1+'Biomass Data Assumptions'!C$83))*'Prac. Rec. Assumptions'!$B29</f>
        <v>16380.892387385544</v>
      </c>
      <c r="G35" s="294">
        <f>($C35*(1+'Biomass Data Assumptions'!H$94)*(1+'Biomass Data Assumptions'!D$83))*'Prac. Rec. Assumptions'!$B29</f>
        <v>17789.490032758582</v>
      </c>
      <c r="H35" s="294">
        <f>($C35*(1+'Biomass Data Assumptions'!I$94)*(1+'Biomass Data Assumptions'!E$83))*'Prac. Rec. Assumptions'!$B29</f>
        <v>19108.851503586287</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3203.1975000000002</v>
      </c>
      <c r="D37" s="294">
        <f>E37*'Conversion Tables'!C34</f>
        <v>51251.16</v>
      </c>
      <c r="E37" s="294">
        <f>C37*'Prac. Rec. Assumptions'!B31</f>
        <v>3203.1975000000002</v>
      </c>
      <c r="F37" s="294">
        <f>($C37*(1+'Biomass Data Assumptions'!G$94)*(1+'Biomass Data Assumptions'!C$84))*'Prac. Rec. Assumptions'!$B31</f>
        <v>3600.1117433387271</v>
      </c>
      <c r="G37" s="294">
        <f>($C37*(1+'Biomass Data Assumptions'!H$94)*(1+'Biomass Data Assumptions'!D$84))*'Prac. Rec. Assumptions'!$B31</f>
        <v>4070.752045442804</v>
      </c>
      <c r="H37" s="294">
        <f>($C37*(1+'Biomass Data Assumptions'!I$94)*(1+'Biomass Data Assumptions'!E$84))*'Prac. Rec. Assumptions'!$B31</f>
        <v>4552.7988662941325</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5111.6239999999998</v>
      </c>
      <c r="D38" s="294">
        <f>E38*'Conversion Tables'!C35</f>
        <v>45237.872399999993</v>
      </c>
      <c r="E38" s="294">
        <f>C38*'Prac. Rec. Assumptions'!B32</f>
        <v>2555.8119999999999</v>
      </c>
      <c r="F38" s="294">
        <f>($C38*(1+'Biomass Data Assumptions'!G$94)*(1+'Biomass Data Assumptions'!C$84))*'Prac. Rec. Assumptions'!$B32</f>
        <v>2872.5074850882716</v>
      </c>
      <c r="G38" s="294">
        <f>($C38*(1+'Biomass Data Assumptions'!H$94)*(1+'Biomass Data Assumptions'!D$84))*'Prac. Rec. Assumptions'!$B32</f>
        <v>3248.0285485884842</v>
      </c>
      <c r="H38" s="294">
        <f>($C38*(1+'Biomass Data Assumptions'!I$94)*(1+'Biomass Data Assumptions'!E$84))*'Prac. Rec. Assumptions'!$B32</f>
        <v>3632.6508047227617</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37134.18</v>
      </c>
      <c r="D39" s="299">
        <f>E39*'Conversion Tables'!C36</f>
        <v>0</v>
      </c>
      <c r="E39" s="299">
        <f>C39*'Prac. Rec. Assumptions'!B33</f>
        <v>0</v>
      </c>
      <c r="F39" s="294">
        <f>($C39*(1+'Biomass Data Assumptions'!G$94)*(1+'Biomass Data Assumptions'!C$84))*'Prac. Rec. Assumptions'!$B33</f>
        <v>0</v>
      </c>
      <c r="G39" s="294">
        <f>($C39*(1+'Biomass Data Assumptions'!H$94)*(1+'Biomass Data Assumptions'!D$84))*'Prac. Rec. Assumptions'!$B33</f>
        <v>0</v>
      </c>
      <c r="H39" s="294">
        <f>($C39*(1+'Biomass Data Assumptions'!I$94)*(1+'Biomass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5303.7449999999999</v>
      </c>
      <c r="D40" s="299">
        <f>E40*'Conversion Tables'!C37</f>
        <v>0</v>
      </c>
      <c r="E40" s="299">
        <f>C40*'Prac. Rec. Assumptions'!B34</f>
        <v>0</v>
      </c>
      <c r="F40" s="294">
        <f>($C40*(1+'Biomass Data Assumptions'!G$94)*(1+'Biomass Data Assumptions'!C$84))*'Prac. Rec. Assumptions'!$B34</f>
        <v>0</v>
      </c>
      <c r="G40" s="294">
        <f>($C40*(1+'Biomass Data Assumptions'!H$94)*(1+'Biomass Data Assumptions'!D$84))*'Prac. Rec. Assumptions'!$B34</f>
        <v>0</v>
      </c>
      <c r="H40" s="294">
        <f>($C40*(1+'Biomass Data Assumptions'!I$94)*(1+'Biomass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24812.325000000001</v>
      </c>
      <c r="D41" s="299">
        <f>E41*'Conversion Tables'!C38</f>
        <v>0</v>
      </c>
      <c r="E41" s="299">
        <f>C41*'Prac. Rec. Assumptions'!B35</f>
        <v>0</v>
      </c>
      <c r="F41" s="294">
        <f>($C41*(1+'Biomass Data Assumptions'!G$94)*(1+'Biomass Data Assumptions'!C$84))*'Prac. Rec. Assumptions'!$B35</f>
        <v>0</v>
      </c>
      <c r="G41" s="294">
        <f>($C41*(1+'Biomass Data Assumptions'!H$94)*(1+'Biomass Data Assumptions'!D$84))*'Prac. Rec. Assumptions'!$B35</f>
        <v>0</v>
      </c>
      <c r="H41" s="294">
        <f>($C41*(1+'Biomass Data Assumptions'!I$94)*(1+'Biomass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2396.799</v>
      </c>
      <c r="D42" s="299">
        <f>E42*'Conversion Tables'!C39</f>
        <v>34806.315078</v>
      </c>
      <c r="E42" s="299">
        <f>C42*'Prac. Rec. Assumptions'!B36</f>
        <v>2396.799</v>
      </c>
      <c r="F42" s="294">
        <f>($C42*(1+'Biomass Data Assumptions'!G$94)*(1+'Biomass Data Assumptions'!C$84))*'Prac. Rec. Assumptions'!$B36</f>
        <v>2693.7908843655496</v>
      </c>
      <c r="G42" s="294">
        <f>($C42*(1+'Biomass Data Assumptions'!H$94)*(1+'Biomass Data Assumptions'!D$84))*'Prac. Rec. Assumptions'!$B36</f>
        <v>3045.9484411327321</v>
      </c>
      <c r="H42" s="294">
        <f>($C42*(1+'Biomass Data Assumptions'!I$94)*(1+'Biomass Data Assumptions'!E$84))*'Prac. Rec. Assumptions'!$B36</f>
        <v>3406.6409485943063</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199786.7130735</v>
      </c>
      <c r="D43" s="295">
        <f t="shared" si="4"/>
        <v>1466656.8015800647</v>
      </c>
      <c r="E43" s="295">
        <f t="shared" si="4"/>
        <v>95839.346483459987</v>
      </c>
      <c r="F43" s="295">
        <f t="shared" si="4"/>
        <v>100023.09882179908</v>
      </c>
      <c r="G43" s="295">
        <f t="shared" si="4"/>
        <v>105115.00925873179</v>
      </c>
      <c r="H43" s="295">
        <f t="shared" si="4"/>
        <v>109363.67430924279</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19214.400000000001</v>
      </c>
      <c r="D46" s="294">
        <f>E46*'Conversion Tables'!C41</f>
        <v>0</v>
      </c>
      <c r="E46" s="294">
        <f>C46*'Prac. Rec. Assumptions'!B38</f>
        <v>19214.400000000001</v>
      </c>
      <c r="F46" s="294">
        <f>$E46</f>
        <v>19214.400000000001</v>
      </c>
      <c r="G46" s="294">
        <f>$E46</f>
        <v>19214.400000000001</v>
      </c>
      <c r="H46" s="294">
        <f>$E46</f>
        <v>19214.400000000001</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1678.2651600000002</v>
      </c>
      <c r="D47" s="294"/>
      <c r="E47" s="294">
        <f>C47*'Prac. Rec. Assumptions'!B39</f>
        <v>839.13258000000008</v>
      </c>
      <c r="F47" s="294">
        <f>($C47*(1+'Biomass Data Assumptions'!G$94))*'Prac. Rec. Assumptions'!$B39</f>
        <v>862.48890770370383</v>
      </c>
      <c r="G47" s="294">
        <f>($C47*(1+'Biomass Data Assumptions'!H$94))*'Prac. Rec. Assumptions'!$B39</f>
        <v>891.87267481481479</v>
      </c>
      <c r="H47" s="294">
        <f>($C47*(1+'Biomass Data Assumptions'!I$94))*'Prac. Rec. Assumptions'!$B39</f>
        <v>912.21528281481494</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149.9893395</v>
      </c>
      <c r="D48" s="294"/>
      <c r="E48" s="294">
        <f>C48*'Prac. Rec. Assumptions'!B40</f>
        <v>149.9893395</v>
      </c>
      <c r="F48" s="294">
        <f>($C48*(1+'Biomass Data Assumptions'!G$94))*'Prac. Rec. Assumptions'!$B40</f>
        <v>154.16412695185184</v>
      </c>
      <c r="G48" s="294">
        <f>($C48*(1+'Biomass Data Assumptions'!H$94))*'Prac. Rec. Assumptions'!$B40</f>
        <v>159.41627890740739</v>
      </c>
      <c r="H48" s="294">
        <f>($C48*(1+'Biomass Data Assumptions'!I$94))*'Prac. Rec. Assumptions'!$B40</f>
        <v>163.05238410740742</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21042.6544995</v>
      </c>
      <c r="D49" s="295">
        <f>SUM(D45:D48)</f>
        <v>0</v>
      </c>
      <c r="E49" s="295">
        <f t="shared" si="6"/>
        <v>20203.521919500003</v>
      </c>
      <c r="F49" s="295">
        <f>SUM(F45:F48)</f>
        <v>20231.053034655557</v>
      </c>
      <c r="G49" s="295">
        <f>SUM(G45:G48)</f>
        <v>20265.688953722223</v>
      </c>
      <c r="H49" s="295">
        <f>SUM(H45:H48)</f>
        <v>20289.667666922222</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1097.83824</v>
      </c>
      <c r="D52" s="299">
        <f>E52*'Conversion Tables'!C45</f>
        <v>3241.6967550720001</v>
      </c>
      <c r="E52" s="299">
        <f>C52*'Prac. Rec. Assumptions'!B42</f>
        <v>219.56764800000002</v>
      </c>
      <c r="F52" s="294">
        <f t="shared" ref="F52:H59" si="7">$E52</f>
        <v>219.56764800000002</v>
      </c>
      <c r="G52" s="294">
        <f t="shared" si="7"/>
        <v>219.56764800000002</v>
      </c>
      <c r="H52" s="294">
        <f t="shared" si="7"/>
        <v>219.56764800000002</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1896.4925499999999</v>
      </c>
      <c r="D53" s="299">
        <f>E53*'Conversion Tables'!C46</f>
        <v>16799.889604920001</v>
      </c>
      <c r="E53" s="299">
        <f>C53*'Prac. Rec. Assumptions'!B43</f>
        <v>1137.89553</v>
      </c>
      <c r="F53" s="294">
        <f t="shared" si="7"/>
        <v>1137.89553</v>
      </c>
      <c r="G53" s="294">
        <f t="shared" si="7"/>
        <v>1137.89553</v>
      </c>
      <c r="H53" s="294">
        <f t="shared" si="7"/>
        <v>1137.89553</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13248.394050000001</v>
      </c>
      <c r="D54" s="299">
        <f>E54*'Conversion Tables'!C47</f>
        <v>117359.57385252</v>
      </c>
      <c r="E54" s="299">
        <f>C54*'Prac. Rec. Assumptions'!B44</f>
        <v>7949.0364300000001</v>
      </c>
      <c r="F54" s="294">
        <f t="shared" si="7"/>
        <v>7949.0364300000001</v>
      </c>
      <c r="G54" s="294">
        <f t="shared" si="7"/>
        <v>7949.0364300000001</v>
      </c>
      <c r="H54" s="294">
        <f t="shared" si="7"/>
        <v>7949.0364300000001</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240.43462500000001</v>
      </c>
      <c r="D55" s="299">
        <f>E55*'Conversion Tables'!C48</f>
        <v>709.95536070000014</v>
      </c>
      <c r="E55" s="299">
        <f>C55*'Prac. Rec. Assumptions'!B45</f>
        <v>48.086925000000008</v>
      </c>
      <c r="F55" s="294">
        <f t="shared" si="7"/>
        <v>48.086925000000008</v>
      </c>
      <c r="G55" s="294">
        <f t="shared" si="7"/>
        <v>48.086925000000008</v>
      </c>
      <c r="H55" s="294">
        <f t="shared" si="7"/>
        <v>48.086925000000008</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230.72562499999998</v>
      </c>
      <c r="D56" s="299">
        <f>E56*'Conversion Tables'!C49</f>
        <v>681.28662550000001</v>
      </c>
      <c r="E56" s="299">
        <f>C56*'Prac. Rec. Assumptions'!B46</f>
        <v>46.145125</v>
      </c>
      <c r="F56" s="294">
        <f t="shared" si="7"/>
        <v>46.145125</v>
      </c>
      <c r="G56" s="294">
        <f t="shared" si="7"/>
        <v>46.145125</v>
      </c>
      <c r="H56" s="294">
        <f t="shared" si="7"/>
        <v>46.145125</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729.94524999999999</v>
      </c>
      <c r="D57" s="299">
        <f>E57*'Conversion Tables'!C50</f>
        <v>5388.4558354999999</v>
      </c>
      <c r="E57" s="299">
        <f>C57*'Prac. Rec. Assumptions'!B47</f>
        <v>364.97262499999999</v>
      </c>
      <c r="F57" s="294">
        <f t="shared" si="7"/>
        <v>364.97262499999999</v>
      </c>
      <c r="G57" s="294">
        <f t="shared" si="7"/>
        <v>364.97262499999999</v>
      </c>
      <c r="H57" s="294">
        <f t="shared" si="7"/>
        <v>364.97262499999999</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48.043125000000003</v>
      </c>
      <c r="D58" s="299">
        <f>E58*'Conversion Tables'!C51</f>
        <v>576.51750000000004</v>
      </c>
      <c r="E58" s="299">
        <f>C58*'Prac. Rec. Assumptions'!B48</f>
        <v>48.043125000000003</v>
      </c>
      <c r="F58" s="294">
        <f t="shared" si="7"/>
        <v>48.043125000000003</v>
      </c>
      <c r="G58" s="294">
        <f t="shared" si="7"/>
        <v>48.043125000000003</v>
      </c>
      <c r="H58" s="294">
        <f t="shared" si="7"/>
        <v>48.043125000000003</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6.97378125</v>
      </c>
      <c r="D59" s="299">
        <f>E59*'Conversion Tables'!C52</f>
        <v>102.96090637499999</v>
      </c>
      <c r="E59" s="299">
        <f>C59*'Prac. Rec. Assumptions'!B49</f>
        <v>6.97378125</v>
      </c>
      <c r="F59" s="294">
        <f t="shared" si="7"/>
        <v>6.97378125</v>
      </c>
      <c r="G59" s="294">
        <f t="shared" si="7"/>
        <v>6.97378125</v>
      </c>
      <c r="H59" s="294">
        <f t="shared" si="7"/>
        <v>6.97378125</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Assumptions'!AE9</f>
        <v>1094.7040610000004</v>
      </c>
      <c r="D60" s="299">
        <f>E60*'Conversion Tables'!C53</f>
        <v>13136.448732000004</v>
      </c>
      <c r="E60" s="299">
        <f>C60*'Prac. Rec. Assumptions'!B50</f>
        <v>1094.7040610000004</v>
      </c>
      <c r="F60" s="294">
        <f>($C60*(1+'Biomass Data Assumptions'!G$94*(4/5)))*'Prac. Rec. Assumptions'!$B50</f>
        <v>1119.0799628745683</v>
      </c>
      <c r="G60" s="294">
        <f>($C60*(1+'Biomass Data Assumptions'!H$94*(9/10)))*'Prac. Rec. Assumptions'!$B50</f>
        <v>1156.6267149555558</v>
      </c>
      <c r="H60" s="294">
        <f>($C60*(1+'Biomass Data Assumptions'!I$94*(14/15)))*'Prac. Rec. Assumptions'!$B50</f>
        <v>1183.6892081657616</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18593.55130725</v>
      </c>
      <c r="D61" s="295">
        <f>SUM(D52:D60)</f>
        <v>157996.78517258703</v>
      </c>
      <c r="E61" s="295">
        <f t="shared" ref="E61:P61" si="8">SUM(E52:E60)</f>
        <v>10915.42525025</v>
      </c>
      <c r="F61" s="295">
        <f>SUM(F52:F60)</f>
        <v>10939.801152124568</v>
      </c>
      <c r="G61" s="295">
        <f>SUM(G52:G60)</f>
        <v>10977.347904205555</v>
      </c>
      <c r="H61" s="295">
        <f>SUM(H52:H60)</f>
        <v>11004.410397415762</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Assumptions'!AB9</f>
        <v>71.781867250000005</v>
      </c>
      <c r="D63" s="300">
        <f>E63*'Conversion Tables'!C55</f>
        <v>44432.97582775</v>
      </c>
      <c r="E63" s="299">
        <f>C63*'Prac. Rec. Assumptions'!B51</f>
        <v>71.781867250000005</v>
      </c>
      <c r="F63" s="294">
        <f>($C63*(1+'Biomass Data Assumptions'!G$94*(4/5)))*'Prac. Rec. Assumptions'!$B51</f>
        <v>73.380242386071842</v>
      </c>
      <c r="G63" s="294">
        <f>($C63*(1+'Biomass Data Assumptions'!H$94*(9/10)))*'Prac. Rec. Assumptions'!$B51</f>
        <v>75.842255700505049</v>
      </c>
      <c r="H63" s="294">
        <f>($C63*(1+'Biomass Data Assumptions'!I$94*(14/15)))*'Prac. Rec. Assumptions'!$B51</f>
        <v>77.616795838133186</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Assumptions'!X9</f>
        <v>1658.3646291646746</v>
      </c>
      <c r="D64" s="300">
        <f>E64*'Conversion Tables'!C56</f>
        <v>839132.5023573254</v>
      </c>
      <c r="E64" s="299">
        <f>C64*'Prac. Rec. Assumptions'!B52</f>
        <v>1658.3646291646746</v>
      </c>
      <c r="F64" s="545">
        <f>($C64*(1+'Biomass Data Assumptions'!G$94*(3/5))*(1+('Biomass Data Assumptions'!C$82-((1+'Biomass Data Assumptions'!$B$82)^2 - 1))))*'Prac. Rec. Assumptions'!$B52</f>
        <v>1685.373090091231</v>
      </c>
      <c r="G64" s="545">
        <f>($C64*(1+'Biomass Data Assumptions'!H$94*(4/5))*(1+('Biomass Data Assumptions'!D$82-((1+'Biomass Data Assumptions'!$B$82)^2 - 1))))*'Prac. Rec. Assumptions'!$B52</f>
        <v>1739.8568918229146</v>
      </c>
      <c r="H64" s="545">
        <f>($C64*(1+'Biomass Data Assumptions'!I$94*(13/15))*(1+('Biomass Data Assumptions'!E$82-((1+'Biomass Data Assumptions'!$B$82)^2 - 1))))*'Prac. Rec. Assumptions'!$B52</f>
        <v>1780.3932071513534</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1730.1464964146746</v>
      </c>
      <c r="D65" s="295">
        <f>SUM(D63:D64)</f>
        <v>883565.47818507545</v>
      </c>
      <c r="E65" s="295">
        <f t="shared" ref="E65:P65" si="9">SUM(E63:E64)</f>
        <v>1730.1464964146746</v>
      </c>
      <c r="F65" s="295">
        <f>SUM(F63:F64)</f>
        <v>1758.7533324773028</v>
      </c>
      <c r="G65" s="295">
        <f>SUM(G63:G64)</f>
        <v>1815.6991475234197</v>
      </c>
      <c r="H65" s="295">
        <f>SUM(H63:H64)</f>
        <v>1858.0100029894866</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86409.209896009605</v>
      </c>
      <c r="D67" s="295">
        <f t="shared" ref="D67" si="10">D61+D65</f>
        <v>1041562.2633576625</v>
      </c>
      <c r="E67" s="295">
        <f>E61+(E63*1000000/29487.1582406855)+(E64*1000000/25364.5039539246)</f>
        <v>78731.083839009603</v>
      </c>
      <c r="F67" s="295">
        <f>F61+(F63*1000000/29487.1582406855)+(F64*1000000/25364.5039539246)</f>
        <v>79874.478836299095</v>
      </c>
      <c r="G67" s="295">
        <f t="shared" ref="G67:H67" si="11">G61+(G63*1000000/29487.1582406855)+(G64*1000000/25364.5039539246)</f>
        <v>82143.553415648959</v>
      </c>
      <c r="H67" s="295">
        <f t="shared" si="11"/>
        <v>83828.947323279717</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554138.58906900964</v>
      </c>
      <c r="D68" s="132"/>
      <c r="E68" s="132">
        <f>E11+E29+E43+E49+E67</f>
        <v>324132.51849196962</v>
      </c>
      <c r="F68" s="132">
        <f>F11+F29+F43+F49+F67</f>
        <v>330745.69186980196</v>
      </c>
      <c r="G68" s="132">
        <f>G11+G29+G43+G49+G67</f>
        <v>339724.58061659907</v>
      </c>
      <c r="H68" s="132">
        <f>H11+H29+H43+H49+H67</f>
        <v>346778.72677278926</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150" t="s">
        <v>598</v>
      </c>
      <c r="F73" s="38"/>
      <c r="G73" s="38"/>
      <c r="H73" s="36"/>
      <c r="I73" s="36"/>
      <c r="J73" s="36"/>
      <c r="K73" s="36"/>
      <c r="L73" s="36"/>
      <c r="M73" s="36"/>
      <c r="N73" s="36"/>
      <c r="O73" s="36"/>
      <c r="P73" s="36"/>
      <c r="Q73" s="36"/>
      <c r="R73" s="36"/>
    </row>
    <row r="74" spans="1:19" x14ac:dyDescent="0.25">
      <c r="A74" s="39" t="s">
        <v>519</v>
      </c>
      <c r="B74" s="21">
        <v>275</v>
      </c>
      <c r="C74" s="40">
        <f>'Biomass Data Assumptions'!B38*B74</f>
        <v>17957.5</v>
      </c>
      <c r="D74" s="40">
        <f>(C74*'Biomass Data Assumptions'!C38)/2000</f>
        <v>502.81</v>
      </c>
      <c r="E74" s="41"/>
      <c r="F74" s="41"/>
      <c r="G74" s="41"/>
      <c r="H74" s="36"/>
      <c r="I74" s="36"/>
      <c r="J74" s="36"/>
      <c r="K74" s="36"/>
      <c r="L74" s="36"/>
      <c r="M74" s="36"/>
      <c r="N74" s="36"/>
      <c r="O74" s="36"/>
      <c r="P74" s="36"/>
      <c r="Q74" s="36"/>
      <c r="R74" s="36"/>
    </row>
    <row r="75" spans="1:19" x14ac:dyDescent="0.25">
      <c r="A75" s="39" t="s">
        <v>520</v>
      </c>
      <c r="B75" s="21">
        <v>2339</v>
      </c>
      <c r="C75" s="40">
        <f>'Biomass Data Assumptions'!B39*B75</f>
        <v>63854.700000000004</v>
      </c>
      <c r="D75" s="40">
        <f>(C75*'Biomass Data Assumptions'!C39)/2000</f>
        <v>1787.9316000000001</v>
      </c>
      <c r="E75" s="41"/>
      <c r="F75" s="41"/>
      <c r="G75" s="41"/>
      <c r="H75" s="36"/>
      <c r="I75" s="36"/>
      <c r="J75" s="36"/>
      <c r="K75" s="36"/>
      <c r="L75" s="36"/>
      <c r="M75" s="36"/>
      <c r="N75" s="36"/>
      <c r="O75" s="36"/>
      <c r="P75" s="36"/>
      <c r="Q75" s="36"/>
      <c r="R75" s="36"/>
    </row>
    <row r="76" spans="1:19" x14ac:dyDescent="0.25">
      <c r="A76" s="39" t="s">
        <v>521</v>
      </c>
      <c r="B76" s="21">
        <v>7119</v>
      </c>
      <c r="C76" s="40">
        <f>'Biomass Data Assumptions'!B40*B76</f>
        <v>889875</v>
      </c>
      <c r="D76" s="40">
        <f>(C76*'Biomass Data Assumptions'!C40)/2000</f>
        <v>24916.5</v>
      </c>
      <c r="E76" s="41"/>
      <c r="F76" s="41"/>
      <c r="G76" s="41"/>
      <c r="H76" s="36"/>
      <c r="I76" s="36"/>
      <c r="J76" s="36"/>
      <c r="K76" s="36"/>
      <c r="L76" s="36"/>
      <c r="M76" s="36"/>
      <c r="N76" s="36"/>
      <c r="O76" s="36"/>
      <c r="P76" s="36"/>
      <c r="Q76" s="36"/>
      <c r="R76" s="36"/>
    </row>
    <row r="77" spans="1:19" x14ac:dyDescent="0.25">
      <c r="A77" s="39" t="s">
        <v>525</v>
      </c>
      <c r="B77" s="21">
        <v>20015</v>
      </c>
      <c r="C77" s="40">
        <f>'Biomass Data Assumptions'!B41*B77</f>
        <v>640480</v>
      </c>
      <c r="D77" s="40">
        <f>(C77*'Biomass Data Assumptions'!C41)/2000</f>
        <v>19214.400000000001</v>
      </c>
      <c r="E77" s="41"/>
      <c r="F77" s="41"/>
      <c r="G77" s="41"/>
      <c r="H77" s="36"/>
      <c r="I77" s="36"/>
      <c r="J77" s="36"/>
      <c r="K77" s="36"/>
      <c r="L77" s="36"/>
      <c r="M77" s="36"/>
      <c r="N77" s="36"/>
      <c r="O77" s="36"/>
      <c r="P77" s="36"/>
      <c r="Q77" s="36"/>
      <c r="R77" s="36"/>
    </row>
    <row r="78" spans="1:19" x14ac:dyDescent="0.25">
      <c r="A78" s="39" t="s">
        <v>522</v>
      </c>
      <c r="B78" s="21">
        <v>3014</v>
      </c>
      <c r="C78" s="40">
        <f>'Biomass Data Assumptions'!B42*B78</f>
        <v>162756</v>
      </c>
      <c r="D78" s="40">
        <f>(C78*'Biomass Data Assumptions'!C42)/2000</f>
        <v>4882.68</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150" t="s">
        <v>598</v>
      </c>
      <c r="F80" s="38"/>
      <c r="G80" s="38"/>
      <c r="H80" s="36"/>
      <c r="I80" s="36"/>
      <c r="J80" s="36"/>
      <c r="K80" s="36"/>
      <c r="L80" s="36"/>
      <c r="M80" s="36"/>
      <c r="N80" s="36"/>
      <c r="O80" s="36"/>
      <c r="P80" s="36"/>
      <c r="Q80" s="36"/>
      <c r="R80" s="36"/>
    </row>
    <row r="81" spans="1:18" x14ac:dyDescent="0.25">
      <c r="A81" s="39" t="s">
        <v>527</v>
      </c>
      <c r="B81" s="21">
        <v>1243</v>
      </c>
      <c r="C81" s="40">
        <f>'Biomass Data Assumptions'!B49*B81</f>
        <v>1243</v>
      </c>
      <c r="D81" s="40">
        <f>C81*'Energy Content Assumptions'!C11</f>
        <v>1056.55</v>
      </c>
      <c r="E81" s="41"/>
      <c r="F81" s="41"/>
      <c r="G81" s="41"/>
      <c r="H81" s="36"/>
      <c r="I81" s="36"/>
      <c r="J81" s="36"/>
      <c r="K81" s="36"/>
      <c r="L81" s="36"/>
      <c r="M81" s="36"/>
      <c r="N81" s="36"/>
      <c r="O81" s="36"/>
      <c r="P81" s="36"/>
      <c r="Q81" s="36"/>
      <c r="R81" s="36"/>
    </row>
    <row r="82" spans="1:18" x14ac:dyDescent="0.25">
      <c r="A82" s="39" t="s">
        <v>520</v>
      </c>
      <c r="B82" s="21">
        <f>2339+774</f>
        <v>3113</v>
      </c>
      <c r="C82" s="40">
        <f>'Biomass Data Assumptions'!B50*B82</f>
        <v>7004.25</v>
      </c>
      <c r="D82" s="40">
        <f>C82*'Energy Content Assumptions'!C12</f>
        <v>5953.6125000000002</v>
      </c>
      <c r="E82" s="41"/>
      <c r="F82" s="41"/>
      <c r="G82" s="41"/>
      <c r="H82" s="36"/>
      <c r="I82" s="36"/>
      <c r="J82" s="36"/>
      <c r="K82" s="36"/>
      <c r="L82" s="36"/>
      <c r="M82" s="36"/>
      <c r="N82" s="36"/>
      <c r="O82" s="36"/>
      <c r="P82" s="36"/>
      <c r="Q82" s="36"/>
      <c r="R82" s="36"/>
    </row>
    <row r="83" spans="1:18" x14ac:dyDescent="0.25">
      <c r="A83" s="39" t="s">
        <v>521</v>
      </c>
      <c r="B83" s="21">
        <v>7119</v>
      </c>
      <c r="C83" s="40">
        <f>'Biomass Data Assumptions'!B51*B83</f>
        <v>17797.5</v>
      </c>
      <c r="D83" s="40">
        <f>C83*'Energy Content Assumptions'!C13</f>
        <v>15127.875</v>
      </c>
      <c r="E83" s="41"/>
      <c r="F83" s="41"/>
      <c r="G83" s="41"/>
      <c r="H83" s="36"/>
      <c r="I83" s="36"/>
      <c r="J83" s="36"/>
      <c r="K83" s="36"/>
      <c r="L83" s="36"/>
      <c r="M83" s="36"/>
      <c r="N83" s="36"/>
      <c r="O83" s="36"/>
      <c r="P83" s="36"/>
      <c r="Q83" s="36"/>
      <c r="R83" s="36"/>
    </row>
    <row r="84" spans="1:18" x14ac:dyDescent="0.25">
      <c r="A84" s="39" t="s">
        <v>528</v>
      </c>
      <c r="B84" s="21">
        <v>827</v>
      </c>
      <c r="C84" s="40">
        <f>'Biomass Data Assumptions'!B52*B84</f>
        <v>13562.8</v>
      </c>
      <c r="D84" s="40">
        <f>C84*'Energy Content Assumptions'!C14</f>
        <v>4746.9799999999996</v>
      </c>
      <c r="E84" s="41"/>
      <c r="F84" s="41"/>
      <c r="G84" s="41"/>
      <c r="H84" s="36"/>
      <c r="I84" s="36"/>
      <c r="J84" s="36"/>
      <c r="K84" s="36"/>
      <c r="L84" s="36"/>
      <c r="M84" s="36"/>
      <c r="N84" s="36"/>
      <c r="O84" s="36"/>
      <c r="P84" s="36"/>
      <c r="Q84" s="36"/>
      <c r="R84" s="36"/>
    </row>
    <row r="85" spans="1:18" x14ac:dyDescent="0.25">
      <c r="A85" s="39" t="s">
        <v>529</v>
      </c>
      <c r="B85" s="21">
        <v>1625</v>
      </c>
      <c r="C85" s="40">
        <f>'Biomass Data Assumptions'!B53*B85</f>
        <v>5200</v>
      </c>
      <c r="D85" s="40">
        <f>C85*'Energy Content Assumptions'!C15</f>
        <v>4420</v>
      </c>
      <c r="E85" s="41"/>
      <c r="F85" s="41"/>
      <c r="G85" s="41"/>
      <c r="H85" s="36"/>
      <c r="I85" s="36"/>
      <c r="J85" s="36"/>
      <c r="K85" s="36"/>
      <c r="L85" s="36"/>
      <c r="M85" s="36"/>
      <c r="N85" s="36"/>
      <c r="O85" s="36"/>
      <c r="P85" s="36"/>
      <c r="Q85" s="36"/>
      <c r="R85" s="36"/>
    </row>
    <row r="86" spans="1:18" x14ac:dyDescent="0.25">
      <c r="A86" s="39" t="s">
        <v>530</v>
      </c>
      <c r="B86" s="21">
        <v>4505</v>
      </c>
      <c r="C86" s="40">
        <f>'Biomass Data Assumptions'!B54*B86</f>
        <v>7658.5</v>
      </c>
      <c r="D86" s="40">
        <f>C86*'Energy Content Assumptions'!C16</f>
        <v>6509.7249999999995</v>
      </c>
      <c r="E86" s="41"/>
      <c r="F86" s="41"/>
      <c r="G86" s="41"/>
      <c r="H86" s="36"/>
      <c r="I86" s="36"/>
      <c r="J86" s="36"/>
      <c r="K86" s="36"/>
      <c r="L86" s="36"/>
      <c r="M86" s="36"/>
      <c r="N86" s="36"/>
      <c r="O86" s="36"/>
      <c r="P86" s="36"/>
      <c r="Q86" s="36"/>
      <c r="R86" s="36"/>
    </row>
    <row r="87" spans="1:18" x14ac:dyDescent="0.25">
      <c r="A87" s="39" t="s">
        <v>522</v>
      </c>
      <c r="B87" s="21">
        <f>3014+41</f>
        <v>3055</v>
      </c>
      <c r="C87" s="40">
        <f>'Biomass Data Assumptions'!B55*B87</f>
        <v>5346.25</v>
      </c>
      <c r="D87" s="40">
        <f>C87*'Energy Content Assumptions'!C17</f>
        <v>4544.3125</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x14ac:dyDescent="0.25">
      <c r="A94" s="459"/>
      <c r="B94" s="457"/>
      <c r="C94" s="458"/>
      <c r="D94" s="458"/>
      <c r="E94" s="463"/>
      <c r="F94" s="457"/>
      <c r="G94" s="457"/>
      <c r="H94" s="36"/>
      <c r="I94" s="36"/>
      <c r="J94" s="44"/>
      <c r="K94" s="44"/>
      <c r="L94" s="44"/>
      <c r="M94" s="44"/>
      <c r="N94" s="36"/>
      <c r="O94" s="36"/>
      <c r="P94" s="36"/>
      <c r="Q94" s="36"/>
      <c r="R94" s="36"/>
    </row>
    <row r="95" spans="1:18" hidden="1" x14ac:dyDescent="0.25">
      <c r="A95" s="456"/>
      <c r="B95" s="458"/>
      <c r="C95" s="458"/>
      <c r="D95" s="458"/>
      <c r="E95" s="458"/>
      <c r="F95" s="458"/>
      <c r="G95" s="458"/>
      <c r="H95" s="36"/>
      <c r="I95" s="36"/>
      <c r="J95" s="41"/>
      <c r="K95" s="41"/>
      <c r="L95" s="41"/>
      <c r="M95" s="41"/>
      <c r="N95" s="36"/>
      <c r="O95" s="36"/>
      <c r="P95" s="36"/>
      <c r="Q95" s="36"/>
      <c r="R95" s="36"/>
    </row>
    <row r="96" spans="1:18" x14ac:dyDescent="0.25">
      <c r="A96" s="456"/>
      <c r="B96" s="458"/>
      <c r="C96" s="458"/>
      <c r="D96" s="458"/>
      <c r="E96" s="458"/>
      <c r="F96" s="458"/>
      <c r="G96" s="458"/>
      <c r="H96" s="36"/>
      <c r="I96" s="36"/>
      <c r="J96" s="41"/>
      <c r="K96" s="41"/>
      <c r="L96" s="41"/>
      <c r="M96" s="41"/>
      <c r="N96" s="36"/>
      <c r="O96" s="36"/>
      <c r="P96" s="36"/>
      <c r="Q96" s="36"/>
      <c r="R96" s="36"/>
    </row>
    <row r="97" spans="1:18" x14ac:dyDescent="0.25">
      <c r="A97" s="467" t="s">
        <v>535</v>
      </c>
      <c r="B97" s="85">
        <v>969</v>
      </c>
      <c r="C97" s="41">
        <f>ROUND('Biomass Data Assumptions'!$B$60/1000*B97,0)</f>
        <v>969</v>
      </c>
      <c r="D97" s="41">
        <f>'Biomass Data Assumptions'!$C$60*C97</f>
        <v>32539020</v>
      </c>
      <c r="E97" s="41">
        <f>('Biomass Data Assumptions'!$D$60*'Energy Content Assumptions'!$C$44*D97)/2000</f>
        <v>390.46823999999998</v>
      </c>
      <c r="F97" s="41">
        <f>('Biomass Data Assumptions'!$E$60*B97*365)/2000</f>
        <v>707.37</v>
      </c>
      <c r="G97" s="41">
        <f>F97+E97</f>
        <v>1097.83824</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320</v>
      </c>
      <c r="C100" s="41">
        <f>ROUND('Biomass Data Assumptions'!B62/1000*B100,0)</f>
        <v>112</v>
      </c>
      <c r="D100" s="41">
        <f>'Biomass Data Assumptions'!C62*C100</f>
        <v>3270400</v>
      </c>
      <c r="E100" s="41">
        <f>('Biomass Data Assumptions'!D62*'Energy Content Assumptions'!C46*D100)/2000</f>
        <v>147.16800000000001</v>
      </c>
      <c r="F100" s="41">
        <f>('Biomass Data Assumptions'!E62*B100*365)/2000</f>
        <v>292</v>
      </c>
      <c r="G100" s="41">
        <f>F100+E100</f>
        <v>439.16800000000001</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333</v>
      </c>
      <c r="C102" s="41">
        <f>ROUND('Biomass Data Assumptions'!B64/1000*B102,0)</f>
        <v>466</v>
      </c>
      <c r="D102" s="41">
        <f>'Biomass Data Assumptions'!C64*C102</f>
        <v>18879990</v>
      </c>
      <c r="E102" s="41">
        <f>('Biomass Data Assumptions'!D64*'Energy Content Assumptions'!C48*D102)/2000</f>
        <v>849.59954999999991</v>
      </c>
      <c r="F102" s="41">
        <f>'Biomass Data Assumptions'!E64*B102*365/2000</f>
        <v>607.72500000000002</v>
      </c>
      <c r="G102" s="41">
        <f>F102+E102</f>
        <v>1457.3245499999998</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 t="s">
        <v>544</v>
      </c>
      <c r="B104" s="85">
        <f t="shared" ref="B104:G104" si="14">SUM(B100:B103)</f>
        <v>653</v>
      </c>
      <c r="C104" s="41">
        <f t="shared" si="14"/>
        <v>578</v>
      </c>
      <c r="D104" s="41">
        <f t="shared" si="14"/>
        <v>22150390</v>
      </c>
      <c r="E104" s="41">
        <f t="shared" si="14"/>
        <v>996.76754999999991</v>
      </c>
      <c r="F104" s="41">
        <f t="shared" si="14"/>
        <v>899.72500000000002</v>
      </c>
      <c r="G104" s="41">
        <f t="shared" si="14"/>
        <v>1896.4925499999999</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3844</v>
      </c>
      <c r="C106" s="41">
        <f>ROUND('Biomass Data Assumptions'!B66/1000*B106,0)</f>
        <v>3844</v>
      </c>
      <c r="D106" s="41">
        <f>'Biomass Data Assumptions'!C66*C106</f>
        <v>77869830</v>
      </c>
      <c r="E106" s="41">
        <f>('Biomass Data Assumptions'!D66*'Energy Content Assumptions'!C50*D106)/2000</f>
        <v>2725.4440500000001</v>
      </c>
      <c r="F106" s="41">
        <f>'Biomass Data Assumptions'!E66*B106*365/2000</f>
        <v>10522.95</v>
      </c>
      <c r="G106" s="41">
        <f>F106+E106</f>
        <v>13248.394050000001</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1094</v>
      </c>
      <c r="C108" s="41">
        <f>ROUND('Biomass Data Assumptions'!B67/1000*B108,0)</f>
        <v>109</v>
      </c>
      <c r="D108" s="41">
        <f>'Biomass Data Assumptions'!C67*C108</f>
        <v>1631185</v>
      </c>
      <c r="E108" s="41">
        <f>('Biomass Data Assumptions'!D67*'Energy Content Assumptions'!C51*D108)/2000</f>
        <v>40.779625000000003</v>
      </c>
      <c r="F108" s="41">
        <f>'Biomass Data Assumptions'!E67*B108*365/2000</f>
        <v>199.655</v>
      </c>
      <c r="G108" s="41">
        <f>F108+E108</f>
        <v>240.43462500000001</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1049</v>
      </c>
      <c r="C110" s="41">
        <f>ROUND('Biomass Data Assumptions'!B68/1000*B110,0)</f>
        <v>105</v>
      </c>
      <c r="D110" s="41">
        <f>'Biomass Data Assumptions'!C68*C110</f>
        <v>1571325</v>
      </c>
      <c r="E110" s="41">
        <f>('Biomass Data Assumptions'!D68*'Energy Content Assumptions'!C52*D110)/2000</f>
        <v>39.283124999999998</v>
      </c>
      <c r="F110" s="41">
        <f>'Biomass Data Assumptions'!E68*B110*365/2000</f>
        <v>191.4425</v>
      </c>
      <c r="G110" s="41">
        <f>F110+E110</f>
        <v>230.72562499999998</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t="0.75" customHeight="1" x14ac:dyDescent="0.25">
      <c r="A112" s="459"/>
      <c r="B112" s="457"/>
      <c r="C112" s="458"/>
      <c r="D112" s="458"/>
      <c r="E112" s="458"/>
      <c r="F112" s="458"/>
      <c r="G112" s="458"/>
      <c r="H112" s="36"/>
      <c r="I112" s="36"/>
      <c r="J112" s="41"/>
      <c r="K112" s="41"/>
      <c r="L112" s="41"/>
      <c r="M112" s="41"/>
      <c r="N112" s="36"/>
      <c r="O112" s="36"/>
      <c r="P112" s="36"/>
      <c r="Q112" s="36"/>
      <c r="R112" s="36"/>
    </row>
    <row r="113" spans="1:18" hidden="1" x14ac:dyDescent="0.25">
      <c r="A113" s="456"/>
      <c r="B113" s="458"/>
      <c r="C113" s="458"/>
      <c r="D113" s="458"/>
      <c r="E113" s="458"/>
      <c r="F113" s="458"/>
      <c r="G113" s="458"/>
      <c r="H113" s="36"/>
      <c r="I113" s="36"/>
      <c r="J113" s="41"/>
      <c r="K113" s="41"/>
      <c r="L113" s="41"/>
      <c r="M113" s="41"/>
      <c r="N113" s="36"/>
      <c r="O113" s="36"/>
      <c r="P113" s="36"/>
      <c r="Q113" s="36"/>
      <c r="R113" s="36"/>
    </row>
    <row r="114" spans="1:18" hidden="1" x14ac:dyDescent="0.25">
      <c r="A114" s="456"/>
      <c r="B114" s="458"/>
      <c r="C114" s="458"/>
      <c r="D114" s="458"/>
      <c r="E114" s="458"/>
      <c r="F114" s="458"/>
      <c r="G114" s="458"/>
      <c r="H114" s="36"/>
      <c r="I114" s="36"/>
      <c r="J114" s="41"/>
      <c r="K114" s="41"/>
      <c r="L114" s="41"/>
      <c r="M114" s="41"/>
      <c r="N114" s="36"/>
      <c r="O114" s="36"/>
      <c r="P114" s="36"/>
      <c r="Q114" s="36"/>
      <c r="R114" s="36"/>
    </row>
    <row r="115" spans="1:18" x14ac:dyDescent="0.25">
      <c r="A115" s="467" t="s">
        <v>605</v>
      </c>
      <c r="B115" s="85">
        <v>4255</v>
      </c>
      <c r="C115" s="41">
        <f>ROUND('Biomass Data Assumptions'!$B$71/1000*B115,0)</f>
        <v>1702</v>
      </c>
      <c r="D115" s="41">
        <f>'Biomass Data Assumptions'!$C$71*C115</f>
        <v>29197810</v>
      </c>
      <c r="E115" s="41">
        <f>('Biomass Data Assumptions'!$D$71*'Energy Content Assumptions'!$C$55*D115)/2000</f>
        <v>729.94524999999999</v>
      </c>
      <c r="F115" s="41">
        <f>'Biomass Data Assumptions'!$E$71*B115*365/2000</f>
        <v>0</v>
      </c>
      <c r="G115" s="41">
        <f>F115+E115</f>
        <v>729.94524999999999</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385+1331+3601</f>
        <v>5317</v>
      </c>
      <c r="C117" s="41">
        <f>ROUND('Biomass Data Assumptions'!B72/1000*B117,0)</f>
        <v>27</v>
      </c>
      <c r="D117" s="41">
        <f>'Biomass Data Assumptions'!C72*C117</f>
        <v>492750</v>
      </c>
      <c r="E117" s="41">
        <f>('Biomass Data Assumptions'!D72*'Energy Content Assumptions'!C56*D117)/2000</f>
        <v>48.043125000000003</v>
      </c>
      <c r="F117" s="41">
        <f>'Biomass Data Assumptions'!E72*B117*365/2000</f>
        <v>0</v>
      </c>
      <c r="G117" s="41">
        <f>F117+E117</f>
        <v>48.043125000000003</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174</v>
      </c>
      <c r="C119" s="41">
        <f>ROUND('Biomass Data Assumptions'!B73/1000*B119,0)</f>
        <v>3</v>
      </c>
      <c r="D119" s="41">
        <f>'Biomass Data Assumptions'!C73*C119</f>
        <v>40515</v>
      </c>
      <c r="E119" s="41">
        <f>('Biomass Data Assumptions'!D73*'Energy Content Assumptions'!C57*D119)/2000</f>
        <v>3.7982812500000001</v>
      </c>
      <c r="F119" s="41">
        <f>'Biomass Data Assumptions'!E73*B119*365/2000</f>
        <v>3.1755000000000004</v>
      </c>
      <c r="G119" s="41">
        <f>F119+E119</f>
        <v>6.97378125</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5">B97+B104+B106+B108+B110+B115+B117+B119</f>
        <v>17355</v>
      </c>
      <c r="C121" s="48">
        <f t="shared" si="15"/>
        <v>7337</v>
      </c>
      <c r="D121" s="48">
        <f t="shared" si="15"/>
        <v>165492825</v>
      </c>
      <c r="E121" s="48">
        <f t="shared" si="15"/>
        <v>4974.5292462500001</v>
      </c>
      <c r="F121" s="48">
        <f t="shared" si="15"/>
        <v>12524.317999999999</v>
      </c>
      <c r="G121" s="48">
        <f t="shared" si="15"/>
        <v>17498.847246249999</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240</v>
      </c>
      <c r="C123" s="49" t="s">
        <v>239</v>
      </c>
      <c r="D123" s="546" t="s">
        <v>1013</v>
      </c>
      <c r="E123" s="36"/>
      <c r="F123" s="36"/>
      <c r="G123" s="36"/>
      <c r="H123" s="36"/>
      <c r="I123" s="36"/>
      <c r="J123" s="36"/>
      <c r="K123" s="36"/>
      <c r="L123" s="36"/>
      <c r="M123" s="36"/>
      <c r="N123" s="36"/>
      <c r="O123" s="36"/>
      <c r="P123" s="36"/>
      <c r="Q123" s="36"/>
      <c r="R123" s="36"/>
    </row>
    <row r="124" spans="1:18" x14ac:dyDescent="0.25">
      <c r="A124" s="50" t="s">
        <v>555</v>
      </c>
      <c r="B124" s="87">
        <v>41260.199999999997</v>
      </c>
      <c r="C124" s="543">
        <f>B124*'Energy Content Assumptions'!C33</f>
        <v>37134.18</v>
      </c>
      <c r="D124" s="36"/>
      <c r="E124" s="36"/>
      <c r="F124" s="36"/>
      <c r="G124" s="36"/>
      <c r="H124" s="36"/>
      <c r="I124" s="36"/>
      <c r="J124" s="36"/>
      <c r="K124" s="36"/>
      <c r="L124" s="36"/>
      <c r="M124" s="36"/>
      <c r="N124" s="36"/>
      <c r="O124" s="36"/>
      <c r="P124" s="36"/>
      <c r="Q124" s="36"/>
      <c r="R124" s="36"/>
    </row>
    <row r="125" spans="1:18" x14ac:dyDescent="0.25">
      <c r="A125" s="50" t="s">
        <v>556</v>
      </c>
      <c r="B125" s="87">
        <v>5893.05</v>
      </c>
      <c r="C125" s="543">
        <f>B125*'Energy Content Assumptions'!C34</f>
        <v>5303.7449999999999</v>
      </c>
      <c r="D125" s="36"/>
      <c r="E125" s="36"/>
      <c r="F125" s="36"/>
      <c r="G125" s="36"/>
      <c r="H125" s="36"/>
      <c r="I125" s="36"/>
      <c r="J125" s="36"/>
      <c r="K125" s="36"/>
      <c r="L125" s="36"/>
      <c r="M125" s="36"/>
      <c r="N125" s="36"/>
      <c r="O125" s="36"/>
      <c r="P125" s="36"/>
      <c r="Q125" s="36"/>
      <c r="R125" s="36"/>
    </row>
    <row r="126" spans="1:18" x14ac:dyDescent="0.25">
      <c r="A126" s="50" t="s">
        <v>557</v>
      </c>
      <c r="B126" s="87">
        <v>27569.25</v>
      </c>
      <c r="C126" s="543">
        <f>B126*'Energy Content Assumptions'!C35</f>
        <v>24812.325000000001</v>
      </c>
      <c r="D126" s="36"/>
      <c r="E126" s="36"/>
      <c r="F126" s="36"/>
      <c r="G126" s="36"/>
      <c r="H126" s="36"/>
      <c r="I126" s="36"/>
      <c r="J126" s="36"/>
      <c r="K126" s="36"/>
      <c r="L126" s="36"/>
      <c r="M126" s="36"/>
      <c r="N126" s="36"/>
      <c r="O126" s="36"/>
      <c r="P126" s="36"/>
      <c r="Q126" s="36"/>
      <c r="R126" s="36"/>
    </row>
    <row r="127" spans="1:18" x14ac:dyDescent="0.25">
      <c r="A127" s="50" t="s">
        <v>558</v>
      </c>
      <c r="B127" s="87">
        <v>2663.11</v>
      </c>
      <c r="C127" s="543">
        <f>B127*'Energy Content Assumptions'!C36</f>
        <v>2396.799</v>
      </c>
      <c r="D127" s="36"/>
      <c r="E127" s="36"/>
      <c r="F127" s="36"/>
      <c r="G127" s="36"/>
      <c r="H127" s="36"/>
      <c r="I127" s="36"/>
      <c r="J127" s="36"/>
      <c r="K127" s="36"/>
      <c r="L127" s="36"/>
      <c r="M127" s="36"/>
      <c r="N127" s="36"/>
      <c r="O127" s="36"/>
      <c r="P127" s="36"/>
      <c r="Q127" s="36"/>
      <c r="R127" s="36"/>
    </row>
    <row r="128" spans="1:18" x14ac:dyDescent="0.25">
      <c r="A128" s="50" t="s">
        <v>559</v>
      </c>
      <c r="B128" s="87">
        <v>54881.66</v>
      </c>
      <c r="C128" s="543">
        <f>B128*'Energy Content Assumptions'!C21</f>
        <v>27440.83</v>
      </c>
      <c r="D128" s="36"/>
      <c r="E128" s="36"/>
      <c r="F128" s="36"/>
      <c r="G128" s="36"/>
      <c r="H128" s="36"/>
      <c r="I128" s="36"/>
      <c r="J128" s="36"/>
      <c r="K128" s="36"/>
      <c r="L128" s="36"/>
      <c r="M128" s="36"/>
      <c r="N128" s="36"/>
      <c r="O128" s="36"/>
      <c r="P128" s="36"/>
      <c r="Q128" s="36"/>
      <c r="R128" s="36"/>
    </row>
    <row r="129" spans="1:18" x14ac:dyDescent="0.25">
      <c r="A129" s="50" t="s">
        <v>560</v>
      </c>
      <c r="B129" s="87">
        <v>902.11</v>
      </c>
      <c r="C129" s="543">
        <f>B129*'Energy Content Assumptions'!C22</f>
        <v>300.70333333333332</v>
      </c>
      <c r="D129" s="36"/>
      <c r="E129" s="36"/>
      <c r="F129" s="36"/>
      <c r="G129" s="36"/>
      <c r="H129" s="36"/>
      <c r="I129" s="36"/>
      <c r="J129" s="36"/>
      <c r="K129" s="36"/>
      <c r="L129" s="36"/>
      <c r="M129" s="36"/>
      <c r="N129" s="36"/>
      <c r="O129" s="36"/>
      <c r="P129" s="36"/>
      <c r="Q129" s="36"/>
      <c r="R129" s="36"/>
    </row>
    <row r="130" spans="1:18" x14ac:dyDescent="0.25">
      <c r="A130" s="50" t="s">
        <v>561</v>
      </c>
      <c r="B130" s="87">
        <v>50211.32</v>
      </c>
      <c r="C130" s="543">
        <f>B130*'Energy Content Assumptions'!C23</f>
        <v>16737.106666666667</v>
      </c>
      <c r="D130" s="36"/>
      <c r="E130" s="36"/>
      <c r="F130" s="36"/>
      <c r="G130" s="36"/>
      <c r="H130" s="36"/>
      <c r="I130" s="36"/>
      <c r="J130" s="36"/>
      <c r="K130" s="36"/>
      <c r="L130" s="36"/>
      <c r="M130" s="36"/>
      <c r="N130" s="36"/>
      <c r="O130" s="36"/>
      <c r="P130" s="36"/>
      <c r="Q130" s="36"/>
      <c r="R130" s="36"/>
    </row>
    <row r="131" spans="1:18" x14ac:dyDescent="0.25">
      <c r="A131" s="50" t="s">
        <v>562</v>
      </c>
      <c r="B131" s="87">
        <v>1471.67</v>
      </c>
      <c r="C131" s="543">
        <f>B131*'Energy Content Assumptions'!C24</f>
        <v>735.83500000000004</v>
      </c>
      <c r="D131" s="36"/>
      <c r="E131" s="36"/>
      <c r="F131" s="36"/>
      <c r="G131" s="36"/>
      <c r="H131" s="36"/>
      <c r="I131" s="36"/>
      <c r="J131" s="36"/>
      <c r="K131" s="36"/>
      <c r="L131" s="36"/>
      <c r="M131" s="36"/>
      <c r="N131" s="36"/>
      <c r="O131" s="36"/>
      <c r="P131" s="36"/>
      <c r="Q131" s="36"/>
      <c r="R131" s="36"/>
    </row>
    <row r="132" spans="1:18" x14ac:dyDescent="0.25">
      <c r="A132" s="50" t="s">
        <v>563</v>
      </c>
      <c r="B132" s="87">
        <v>12812.79</v>
      </c>
      <c r="C132" s="543">
        <f>B132*'Energy Content Assumptions'!C31</f>
        <v>3203.1975000000002</v>
      </c>
      <c r="D132" s="36"/>
      <c r="E132" s="36"/>
      <c r="F132" s="36"/>
      <c r="G132" s="36"/>
      <c r="H132" s="36"/>
      <c r="I132" s="36"/>
      <c r="J132" s="36"/>
      <c r="K132" s="36"/>
      <c r="L132" s="36"/>
      <c r="M132" s="36"/>
      <c r="N132" s="36"/>
      <c r="O132" s="36"/>
      <c r="P132" s="36"/>
      <c r="Q132" s="36"/>
      <c r="R132" s="36"/>
    </row>
    <row r="133" spans="1:18" x14ac:dyDescent="0.25">
      <c r="A133" s="50" t="s">
        <v>564</v>
      </c>
      <c r="B133" s="87">
        <v>13.56</v>
      </c>
      <c r="C133" s="543">
        <f>B133*'Energy Content Assumptions'!C19</f>
        <v>12.204000000000001</v>
      </c>
      <c r="D133" s="36"/>
      <c r="E133" s="36"/>
      <c r="F133" s="36"/>
      <c r="G133" s="36"/>
      <c r="H133" s="36"/>
      <c r="I133" s="36"/>
      <c r="J133" s="36"/>
      <c r="K133" s="36"/>
      <c r="L133" s="36"/>
      <c r="M133" s="36"/>
      <c r="N133" s="36"/>
      <c r="O133" s="36"/>
      <c r="P133" s="36"/>
      <c r="Q133" s="36"/>
      <c r="R133" s="36"/>
    </row>
    <row r="134" spans="1:18" x14ac:dyDescent="0.25">
      <c r="A134" s="50" t="s">
        <v>565</v>
      </c>
      <c r="B134" s="87">
        <v>6389.53</v>
      </c>
      <c r="C134" s="543">
        <f>B134*'Energy Content Assumptions'!C32</f>
        <v>5111.6239999999998</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207</v>
      </c>
      <c r="C136" s="49" t="s">
        <v>241</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Assumptions'!$M$9</f>
        <v>551839.25</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Assumptions'!$F$9</f>
        <v>314757.96999999997</v>
      </c>
      <c r="C138" s="543">
        <f>B138*'Energy Content Assumptions'!$C$28</f>
        <v>157378.98499999999</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Assumptions'!$H$9</f>
        <v>48181.7</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Assumptions'!$I$9</f>
        <v>266576.26999999996</v>
      </c>
      <c r="C140" s="543">
        <f>B140*'Energy Content Assumptions'!$C$28</f>
        <v>133288.13499999998</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Assumptions'!K9,'Biomass Data Assumptions'!F9*'Biomass Data Assumptions'!I41)</f>
        <v>51849.084514999995</v>
      </c>
      <c r="C141" s="543">
        <f>B141*'Energy Content Assumptions'!C26</f>
        <v>15554.725354499999</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Assumptions'!K9,'Biomass Data Assumptions'!F9*'Biomass Data Assumptions'!I42)</f>
        <v>51849.084514999995</v>
      </c>
      <c r="C142" s="543">
        <f>B142*'Energy Content Assumptions'!C27</f>
        <v>46664.176063499996</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Assumptions'!L9,'Biomass Data Assumptions'!F9*'Biomass Data Assumptions'!I43)</f>
        <v>71788.989510999978</v>
      </c>
      <c r="C143" s="543">
        <f>B143*'Energy Content Assumptions'!$C$28</f>
        <v>35894.494755499989</v>
      </c>
      <c r="D143" s="547" t="s">
        <v>1064</v>
      </c>
      <c r="E143" s="36"/>
      <c r="F143" s="36"/>
      <c r="G143" s="36"/>
      <c r="H143" s="36"/>
      <c r="I143" s="36"/>
      <c r="J143" s="36"/>
      <c r="K143" s="36"/>
      <c r="L143" s="36"/>
      <c r="M143" s="36"/>
      <c r="N143" s="36"/>
      <c r="O143" s="36"/>
      <c r="P143" s="36"/>
      <c r="Q143" s="36"/>
      <c r="R143" s="36"/>
    </row>
    <row r="144" spans="1:18" x14ac:dyDescent="0.25">
      <c r="A144" s="50" t="s">
        <v>463</v>
      </c>
      <c r="B144" s="87">
        <v>74098.27</v>
      </c>
      <c r="C144" s="543">
        <f>B144*'Energy Content Assumptions'!C29</f>
        <v>59278.616000000009</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23711.446400000004</v>
      </c>
      <c r="D145" s="36" t="s">
        <v>1202</v>
      </c>
      <c r="E145" s="36"/>
      <c r="F145" s="36"/>
      <c r="G145" s="36"/>
      <c r="H145" s="36"/>
      <c r="I145" s="36"/>
      <c r="J145" s="36"/>
      <c r="K145" s="36"/>
      <c r="L145" s="36"/>
      <c r="M145" s="36"/>
      <c r="N145" s="36"/>
      <c r="O145" s="36"/>
      <c r="P145" s="36"/>
      <c r="Q145" s="36"/>
      <c r="R145" s="36"/>
    </row>
    <row r="146" spans="1:18" x14ac:dyDescent="0.25">
      <c r="A146" s="712"/>
      <c r="B146" s="713"/>
      <c r="C146" s="714"/>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Assumptions'!R9/2000</f>
        <v>1974.4296000000002</v>
      </c>
      <c r="C148" s="1239">
        <f>B148*'Energy Content Assumptions'!C39</f>
        <v>1678.2651600000002</v>
      </c>
      <c r="D148" s="150" t="s">
        <v>1567</v>
      </c>
      <c r="E148" s="36"/>
      <c r="F148" s="36"/>
      <c r="G148" s="36"/>
      <c r="H148" s="36"/>
      <c r="I148" s="36"/>
      <c r="J148" s="36"/>
      <c r="K148" s="36"/>
      <c r="L148" s="36"/>
      <c r="M148" s="36"/>
      <c r="N148" s="36"/>
      <c r="O148" s="36"/>
      <c r="P148" s="36"/>
      <c r="Q148" s="36"/>
      <c r="R148" s="36"/>
    </row>
    <row r="149" spans="1:18" x14ac:dyDescent="0.25">
      <c r="A149" s="1236" t="s">
        <v>509</v>
      </c>
      <c r="B149" s="549">
        <f>'Biomass Data Assumptions'!S9/2000</f>
        <v>2999.7867900000001</v>
      </c>
      <c r="C149" s="1239">
        <f>B149*'Energy Content Assumptions'!C40</f>
        <v>149.9893395</v>
      </c>
      <c r="D149" s="150" t="s">
        <v>1566</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457"/>
      <c r="Q175" s="457"/>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S199"/>
  <sheetViews>
    <sheetView topLeftCell="A102"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448</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389.44920000000002</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376.08479999999997</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1438.5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239.76</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2443.7939999999999</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376.55</v>
      </c>
      <c r="D15" s="294">
        <f>E15*'Conversion Tables'!C14</f>
        <v>4739.1076800000001</v>
      </c>
      <c r="E15" s="294">
        <f>C15*'Prac. Rec. Assumptions'!B11</f>
        <v>301.24</v>
      </c>
      <c r="F15" s="294">
        <f>$E15</f>
        <v>301.24</v>
      </c>
      <c r="G15" s="294">
        <f>$E15</f>
        <v>301.24</v>
      </c>
      <c r="H15" s="294">
        <f>$E15</f>
        <v>301.24</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1264.1624999999999</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873.375</v>
      </c>
      <c r="D17" s="294">
        <f>E17*'Conversion Tables'!C16</f>
        <v>11678.945174999999</v>
      </c>
      <c r="E17" s="294">
        <f>C17*'Prac. Rec. Assumptions'!B13</f>
        <v>742.36874999999998</v>
      </c>
      <c r="F17" s="294">
        <f t="shared" si="2"/>
        <v>742.36874999999998</v>
      </c>
      <c r="G17" s="294">
        <f t="shared" si="2"/>
        <v>742.36874999999998</v>
      </c>
      <c r="H17" s="294">
        <f t="shared" si="2"/>
        <v>742.36874999999998</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91.839999999999989</v>
      </c>
      <c r="D18" s="294">
        <f>E18*'Conversion Tables'!C17</f>
        <v>1083.6201599999999</v>
      </c>
      <c r="E18" s="294">
        <f>C18*'Prac. Rec. Assumptions'!B14</f>
        <v>68.88</v>
      </c>
      <c r="F18" s="294">
        <f t="shared" si="2"/>
        <v>68.88</v>
      </c>
      <c r="G18" s="294">
        <f t="shared" si="2"/>
        <v>68.88</v>
      </c>
      <c r="H18" s="294">
        <f t="shared" si="2"/>
        <v>68.88</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1645.6</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1025.95</v>
      </c>
      <c r="D20" s="294">
        <f>E20*'Conversion Tables'!C19</f>
        <v>8002.41</v>
      </c>
      <c r="E20" s="294">
        <f>C20*'Prac. Rec. Assumptions'!B16</f>
        <v>512.97500000000002</v>
      </c>
      <c r="F20" s="294">
        <f t="shared" si="2"/>
        <v>512.97500000000002</v>
      </c>
      <c r="G20" s="294">
        <f t="shared" si="2"/>
        <v>512.97500000000002</v>
      </c>
      <c r="H20" s="294">
        <f t="shared" si="2"/>
        <v>512.97500000000002</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238</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Assumptions'!P10*1000*'Energy Content Assumptions'!C18</f>
        <v>23349.5</v>
      </c>
      <c r="D22" s="294">
        <f>E22*'Conversion Tables'!C21</f>
        <v>182126.1</v>
      </c>
      <c r="E22" s="294">
        <f>C22*'Prac. Rec. Assumptions'!B18</f>
        <v>11674.75</v>
      </c>
      <c r="F22" s="294">
        <f t="shared" si="2"/>
        <v>11674.75</v>
      </c>
      <c r="G22" s="294">
        <f t="shared" si="2"/>
        <v>11674.75</v>
      </c>
      <c r="H22" s="294">
        <f t="shared" si="2"/>
        <v>11674.75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20.68</v>
      </c>
      <c r="D23" s="294">
        <f>E23*'Conversion Tables'!C22</f>
        <v>337.82847999999996</v>
      </c>
      <c r="E23" s="294">
        <f>C23*'Prac. Rec. Assumptions'!B19</f>
        <v>20.68</v>
      </c>
      <c r="F23" s="297">
        <f t="shared" si="2"/>
        <v>20.68</v>
      </c>
      <c r="G23" s="297">
        <f t="shared" si="2"/>
        <v>20.68</v>
      </c>
      <c r="H23" s="297">
        <f t="shared" si="2"/>
        <v>20.68</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14494.66</v>
      </c>
      <c r="D25" s="294">
        <f>E25*'Conversion Tables'!C24</f>
        <v>256555.48199999999</v>
      </c>
      <c r="E25" s="294">
        <f>C25*'Prac. Rec. Assumptions'!B21</f>
        <v>14494.66</v>
      </c>
      <c r="F25" s="294">
        <f>($C25*(1+'Biomass Data Assumptions'!G$95))*'Prac. Rec. Assumptions'!$B21</f>
        <v>14567.45527911918</v>
      </c>
      <c r="G25" s="294">
        <f>($C25*(1+'Biomass Data Assumptions'!H$95))*'Prac. Rec. Assumptions'!$B21</f>
        <v>14827.838392891636</v>
      </c>
      <c r="H25" s="294">
        <f>($C25*(1+'Biomass Data Assumptions'!I$95))*'Prac. Rec. Assumptions'!$B21</f>
        <v>15015.426227544911</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6087.57</v>
      </c>
      <c r="D26" s="294">
        <f>E26*'Conversion Tables'!C25</f>
        <v>94966.09199999999</v>
      </c>
      <c r="E26" s="294">
        <f>C26*'Prac. Rec. Assumptions'!B22</f>
        <v>6087.57</v>
      </c>
      <c r="F26" s="294">
        <f>($C26*(1+'Biomass Data Assumptions'!G$95))*'Prac. Rec. Assumptions'!$B22</f>
        <v>6118.1430770716624</v>
      </c>
      <c r="G26" s="294">
        <f>($C26*(1+'Biomass Data Assumptions'!H$95))*'Prac. Rec. Assumptions'!$B22</f>
        <v>6227.5006219818424</v>
      </c>
      <c r="H26" s="294">
        <f>($C26*(1+'Biomass Data Assumptions'!I$95))*'Prac. Rec. Assumptions'!$B22</f>
        <v>6306.2850898203596</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22191.289999999997</v>
      </c>
      <c r="D27" s="294">
        <f>E27*'Conversion Tables'!C26</f>
        <v>346184.12399999995</v>
      </c>
      <c r="E27" s="294">
        <f>C27*'Prac. Rec. Assumptions'!B23</f>
        <v>22191.289999999997</v>
      </c>
      <c r="F27" s="294">
        <f>($C27*(1+'Biomass Data Assumptions'!G$95))*'Prac. Rec. Assumptions'!$B23</f>
        <v>22302.739399265978</v>
      </c>
      <c r="G27" s="294">
        <f>($C27*(1+'Biomass Data Assumptions'!H$95))*'Prac. Rec. Assumptions'!$B23</f>
        <v>22701.385327409691</v>
      </c>
      <c r="H27" s="294">
        <f>($C27*(1+'Biomass Data Assumptions'!I$95))*'Prac. Rec. Assumptions'!$B23</f>
        <v>22988.581856287423</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1611.14</v>
      </c>
      <c r="D28" s="294">
        <f>E28*'Conversion Tables'!C27</f>
        <v>28517.178</v>
      </c>
      <c r="E28" s="294">
        <f>C28*'Prac. Rec. Assumptions'!B24</f>
        <v>1611.14</v>
      </c>
      <c r="F28" s="294">
        <f>($C28*(1+'Biomass Data Assumptions'!G$95))*'Prac. Rec. Assumptions'!$B24</f>
        <v>1619.2314892795055</v>
      </c>
      <c r="G28" s="294">
        <f>($C28*(1+'Biomass Data Assumptions'!H$95))*'Prac. Rec. Assumptions'!$B24</f>
        <v>1648.1741240100444</v>
      </c>
      <c r="H28" s="294">
        <f>($C28*(1+'Biomass Data Assumptions'!I$95))*'Prac. Rec. Assumptions'!$B24</f>
        <v>1669.0252694610781</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73270.317500000005</v>
      </c>
      <c r="D29" s="295">
        <f>SUM(D13:D28)</f>
        <v>934190.88749499992</v>
      </c>
      <c r="E29" s="295">
        <f t="shared" si="3"/>
        <v>57705.553749999992</v>
      </c>
      <c r="F29" s="295">
        <f>SUM(F13:F28)</f>
        <v>57928.462994736321</v>
      </c>
      <c r="G29" s="295">
        <f>SUM(G13:G28)</f>
        <v>58725.792216293215</v>
      </c>
      <c r="H29" s="295">
        <f>SUM(H13:H28)</f>
        <v>59300.212193113774</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4016.6247533999995</v>
      </c>
      <c r="D32" s="294">
        <f>E32*'Conversion Tables'!C29</f>
        <v>38559.597632639998</v>
      </c>
      <c r="E32" s="294">
        <f>C32*'Prac. Rec. Assumptions'!B26</f>
        <v>2409.9748520399999</v>
      </c>
      <c r="F32" s="294">
        <f>($C32*(1+'Biomass Data Assumptions'!G$95)*(1+'Biomass Data Assumptions'!C$82))*'Prac. Rec. Assumptions'!$B26</f>
        <v>2420.4337191056006</v>
      </c>
      <c r="G32" s="294">
        <f>($C32*(1+'Biomass Data Assumptions'!H$95)*(1+'Biomass Data Assumptions'!D$82))*'Prac. Rec. Assumptions'!$B26</f>
        <v>2462.0244855192332</v>
      </c>
      <c r="H32" s="294">
        <f>($C32*(1+'Biomass Data Assumptions'!I$95)*(1+'Biomass Data Assumptions'!E$82))*'Prac. Rec. Assumptions'!$B26</f>
        <v>2491.4788861210418</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14814.794839499997</v>
      </c>
      <c r="D33" s="294">
        <f>E33*'Conversion Tables'!C30</f>
        <v>172112.36052737519</v>
      </c>
      <c r="E33" s="294">
        <f>C33*'Prac. Rec. Assumptions'!B27</f>
        <v>11851.835871599998</v>
      </c>
      <c r="F33" s="294">
        <f>($C33*(1+'Biomass Data Assumptions'!G$95)*(1+'Biomass Data Assumptions'!C$82))*'Prac. Rec. Assumptions'!$B27</f>
        <v>11903.270755146377</v>
      </c>
      <c r="G33" s="294">
        <f>($C33*(1+'Biomass Data Assumptions'!H$95)*(1+'Biomass Data Assumptions'!D$82))*'Prac. Rec. Assumptions'!$B27</f>
        <v>12107.80688833099</v>
      </c>
      <c r="H33" s="294">
        <f>($C33*(1+'Biomass Data Assumptions'!I$95)*(1+'Biomass Data Assumptions'!E$82))*'Prac. Rec. Assumptions'!$B27</f>
        <v>12252.658491796272</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11395.670523499997</v>
      </c>
      <c r="D34" s="294">
        <f>E34*'Conversion Tables'!C31</f>
        <v>119151.30768643224</v>
      </c>
      <c r="E34" s="294">
        <f>C34*'Prac. Rec. Assumptions'!B28</f>
        <v>8204.8827769199997</v>
      </c>
      <c r="F34" s="294">
        <f>($C34*(1+'Biomass Data Assumptions'!G$95)*(1+'Biomass Data Assumptions'!C$82))*'Prac. Rec. Assumptions'!$B28</f>
        <v>8240.4905253494089</v>
      </c>
      <c r="G34" s="294">
        <f>($C34*(1+'Biomass Data Assumptions'!H$95)*(1+'Biomass Data Assumptions'!D$82))*'Prac. Rec. Assumptions'!$B28</f>
        <v>8382.088419093925</v>
      </c>
      <c r="H34" s="294">
        <f>($C34*(1+'Biomass Data Assumptions'!I$95)*(1+'Biomass Data Assumptions'!E$82))*'Prac. Rec. Assumptions'!$B28</f>
        <v>8482.367434037882</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20582.972800000003</v>
      </c>
      <c r="D35" s="294">
        <f>E35*'Conversion Tables'!C32</f>
        <v>233163.91587840006</v>
      </c>
      <c r="E35" s="294">
        <f>C35*'Prac. Rec. Assumptions'!B29</f>
        <v>13173.102592000005</v>
      </c>
      <c r="F35" s="294">
        <f>($C35*(1+'Biomass Data Assumptions'!G$95)*(1+'Biomass Data Assumptions'!C$83))*'Prac. Rec. Assumptions'!$B29</f>
        <v>13904.018481807627</v>
      </c>
      <c r="G35" s="294">
        <f>($C35*(1+'Biomass Data Assumptions'!H$95)*(1+'Biomass Data Assumptions'!D$83))*'Prac. Rec. Assumptions'!$B29</f>
        <v>14863.157786963791</v>
      </c>
      <c r="H35" s="294">
        <f>($C35*(1+'Biomass Data Assumptions'!I$95)*(1+'Biomass Data Assumptions'!E$83))*'Prac. Rec. Assumptions'!$B29</f>
        <v>15806.929276185618</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474.84249999999997</v>
      </c>
      <c r="D37" s="294">
        <f>E37*'Conversion Tables'!C34</f>
        <v>7597.48</v>
      </c>
      <c r="E37" s="294">
        <f>C37*'Prac. Rec. Assumptions'!B31</f>
        <v>474.84249999999997</v>
      </c>
      <c r="F37" s="294">
        <f>($C37*(1+'Biomass Data Assumptions'!G$95)*(1+'Biomass Data Assumptions'!C$84))*'Prac. Rec. Assumptions'!$B31</f>
        <v>521.83664425548398</v>
      </c>
      <c r="G37" s="294">
        <f>($C37*(1+'Biomass Data Assumptions'!H$95)*(1+'Biomass Data Assumptions'!D$84))*'Prac. Rec. Assumptions'!$B31</f>
        <v>580.81530547709565</v>
      </c>
      <c r="H37" s="294">
        <f>($C37*(1+'Biomass Data Assumptions'!I$95)*(1+'Biomass Data Assumptions'!E$84))*'Prac. Rec. Assumptions'!$B31</f>
        <v>643.14248855720575</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3016.328</v>
      </c>
      <c r="D38" s="294">
        <f>E38*'Conversion Tables'!C35</f>
        <v>26694.502799999998</v>
      </c>
      <c r="E38" s="294">
        <f>C38*'Prac. Rec. Assumptions'!B32</f>
        <v>1508.164</v>
      </c>
      <c r="F38" s="294">
        <f>($C38*(1+'Biomass Data Assumptions'!G$95)*(1+'Biomass Data Assumptions'!C$84))*'Prac. Rec. Assumptions'!$B32</f>
        <v>1657.423757871142</v>
      </c>
      <c r="G38" s="294">
        <f>($C38*(1+'Biomass Data Assumptions'!H$95)*(1+'Biomass Data Assumptions'!D$84))*'Prac. Rec. Assumptions'!$B32</f>
        <v>1844.7479624708376</v>
      </c>
      <c r="H38" s="294">
        <f>($C38*(1+'Biomass Data Assumptions'!I$95)*(1+'Biomass Data Assumptions'!E$84))*'Prac. Rec. Assumptions'!$B32</f>
        <v>2042.7075253634409</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43736.048999999999</v>
      </c>
      <c r="D39" s="299">
        <f>E39*'Conversion Tables'!C36</f>
        <v>0</v>
      </c>
      <c r="E39" s="299">
        <f>C39*'Prac. Rec. Assumptions'!B33</f>
        <v>0</v>
      </c>
      <c r="F39" s="294">
        <f>($C39*(1+'Biomass Data Assumptions'!G$95)*(1+'Biomass Data Assumptions'!C$84))*'Prac. Rec. Assumptions'!$B33</f>
        <v>0</v>
      </c>
      <c r="G39" s="294">
        <f>($C39*(1+'Biomass Data Assumptions'!H$95)*(1+'Biomass Data Assumptions'!D$84))*'Prac. Rec. Assumptions'!$B33</f>
        <v>0</v>
      </c>
      <c r="H39" s="294">
        <f>($C39*(1+'Biomass Data Assumptions'!I$95)*(1+'Biomass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6068.0069999999996</v>
      </c>
      <c r="D40" s="299">
        <f>E40*'Conversion Tables'!C37</f>
        <v>0</v>
      </c>
      <c r="E40" s="299">
        <f>C40*'Prac. Rec. Assumptions'!B34</f>
        <v>0</v>
      </c>
      <c r="F40" s="294">
        <f>($C40*(1+'Biomass Data Assumptions'!G$95)*(1+'Biomass Data Assumptions'!C$84))*'Prac. Rec. Assumptions'!$B34</f>
        <v>0</v>
      </c>
      <c r="G40" s="294">
        <f>($C40*(1+'Biomass Data Assumptions'!H$95)*(1+'Biomass Data Assumptions'!D$84))*'Prac. Rec. Assumptions'!$B34</f>
        <v>0</v>
      </c>
      <c r="H40" s="294">
        <f>($C40*(1+'Biomass Data Assumptions'!I$95)*(1+'Biomass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12367.476000000001</v>
      </c>
      <c r="D41" s="299">
        <f>E41*'Conversion Tables'!C38</f>
        <v>0</v>
      </c>
      <c r="E41" s="299">
        <f>C41*'Prac. Rec. Assumptions'!B35</f>
        <v>0</v>
      </c>
      <c r="F41" s="294">
        <f>($C41*(1+'Biomass Data Assumptions'!G$95)*(1+'Biomass Data Assumptions'!C$84))*'Prac. Rec. Assumptions'!$B35</f>
        <v>0</v>
      </c>
      <c r="G41" s="294">
        <f>($C41*(1+'Biomass Data Assumptions'!H$95)*(1+'Biomass Data Assumptions'!D$84))*'Prac. Rec. Assumptions'!$B35</f>
        <v>0</v>
      </c>
      <c r="H41" s="294">
        <f>($C41*(1+'Biomass Data Assumptions'!I$95)*(1+'Biomass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10164.582</v>
      </c>
      <c r="D42" s="299">
        <f>E42*'Conversion Tables'!C39</f>
        <v>147610.05980400002</v>
      </c>
      <c r="E42" s="299">
        <f>C42*'Prac. Rec. Assumptions'!B36</f>
        <v>10164.582</v>
      </c>
      <c r="F42" s="294">
        <f>($C42*(1+'Biomass Data Assumptions'!G$95)*(1+'Biomass Data Assumptions'!C$84))*'Prac. Rec. Assumptions'!$B36</f>
        <v>11170.548889662776</v>
      </c>
      <c r="G42" s="294">
        <f>($C42*(1+'Biomass Data Assumptions'!H$95)*(1+'Biomass Data Assumptions'!D$84))*'Prac. Rec. Assumptions'!$B36</f>
        <v>12433.058960343669</v>
      </c>
      <c r="H42" s="294">
        <f>($C42*(1+'Biomass Data Assumptions'!I$95)*(1+'Biomass Data Assumptions'!E$84))*'Prac. Rec. Assumptions'!$B36</f>
        <v>13767.248219407025</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126637.34741639999</v>
      </c>
      <c r="D43" s="295">
        <f t="shared" si="4"/>
        <v>744889.2243288476</v>
      </c>
      <c r="E43" s="295">
        <f t="shared" si="4"/>
        <v>47787.384592560004</v>
      </c>
      <c r="F43" s="295">
        <f t="shared" si="4"/>
        <v>49818.022773198405</v>
      </c>
      <c r="G43" s="295">
        <f t="shared" si="4"/>
        <v>52673.699808199541</v>
      </c>
      <c r="H43" s="295">
        <f t="shared" si="4"/>
        <v>55486.532321468483</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186.24</v>
      </c>
      <c r="D46" s="294">
        <f>E46*'Conversion Tables'!C41</f>
        <v>0</v>
      </c>
      <c r="E46" s="294">
        <f>C46*'Prac. Rec. Assumptions'!B38</f>
        <v>186.24</v>
      </c>
      <c r="F46" s="294">
        <f>$E46</f>
        <v>186.24</v>
      </c>
      <c r="G46" s="294">
        <f>$E46</f>
        <v>186.24</v>
      </c>
      <c r="H46" s="294">
        <f>$E46</f>
        <v>186.24</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1921.0771800000002</v>
      </c>
      <c r="D47" s="294"/>
      <c r="E47" s="294">
        <f>C47*'Prac. Rec. Assumptions'!B39</f>
        <v>960.53859000000011</v>
      </c>
      <c r="F47" s="294">
        <f>($C47*(1+'Biomass Data Assumptions'!G$95))*'Prac. Rec. Assumptions'!$B39</f>
        <v>965.36262000579484</v>
      </c>
      <c r="G47" s="294">
        <f>($C47*(1+'Biomass Data Assumptions'!H$95))*'Prac. Rec. Assumptions'!$B39</f>
        <v>982.61780425729194</v>
      </c>
      <c r="H47" s="294">
        <f>($C47*(1+'Biomass Data Assumptions'!I$95))*'Prac. Rec. Assumptions'!$B39</f>
        <v>995.0489585029942</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171.68985225</v>
      </c>
      <c r="D48" s="294"/>
      <c r="E48" s="294">
        <f>C48*'Prac. Rec. Assumptions'!B40</f>
        <v>171.68985225</v>
      </c>
      <c r="F48" s="294">
        <f>($C48*(1+'Biomass Data Assumptions'!G$95))*'Prac. Rec. Assumptions'!$B40</f>
        <v>172.55211536734595</v>
      </c>
      <c r="G48" s="294">
        <f>($C48*(1+'Biomass Data Assumptions'!H$95))*'Prac. Rec. Assumptions'!$B40</f>
        <v>175.63636421016031</v>
      </c>
      <c r="H48" s="294">
        <f>($C48*(1+'Biomass Data Assumptions'!I$95))*'Prac. Rec. Assumptions'!$B40</f>
        <v>177.85834993562875</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2279.0070322500001</v>
      </c>
      <c r="D49" s="295">
        <f>SUM(D45:D48)</f>
        <v>0</v>
      </c>
      <c r="E49" s="295">
        <f t="shared" si="6"/>
        <v>1318.4684422500002</v>
      </c>
      <c r="F49" s="295">
        <f>SUM(F45:F48)</f>
        <v>1324.154735373141</v>
      </c>
      <c r="G49" s="295">
        <f>SUM(G45:G48)</f>
        <v>1344.4941684674523</v>
      </c>
      <c r="H49" s="295">
        <f>SUM(H45:H48)</f>
        <v>1359.147308438623</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139.35408000000001</v>
      </c>
      <c r="D52" s="299">
        <f>E52*'Conversion Tables'!C45</f>
        <v>411.48472742400003</v>
      </c>
      <c r="E52" s="299">
        <f>C52*'Prac. Rec. Assumptions'!B42</f>
        <v>27.870816000000005</v>
      </c>
      <c r="F52" s="294">
        <f t="shared" ref="F52:H59" si="7">$E52</f>
        <v>27.870816000000005</v>
      </c>
      <c r="G52" s="294">
        <f t="shared" si="7"/>
        <v>27.870816000000005</v>
      </c>
      <c r="H52" s="294">
        <f t="shared" si="7"/>
        <v>27.870816000000005</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18.029175000000002</v>
      </c>
      <c r="D53" s="299">
        <f>E53*'Conversion Tables'!C46</f>
        <v>159.70964382</v>
      </c>
      <c r="E53" s="299">
        <f>C53*'Prac. Rec. Assumptions'!B43</f>
        <v>10.817505000000001</v>
      </c>
      <c r="F53" s="294">
        <f t="shared" si="7"/>
        <v>10.817505000000001</v>
      </c>
      <c r="G53" s="294">
        <f t="shared" si="7"/>
        <v>10.817505000000001</v>
      </c>
      <c r="H53" s="294">
        <f t="shared" si="7"/>
        <v>10.817505000000001</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1723.2562500000001</v>
      </c>
      <c r="D54" s="299">
        <f>E54*'Conversion Tables'!C47</f>
        <v>15265.293165000001</v>
      </c>
      <c r="E54" s="299">
        <f>C54*'Prac. Rec. Assumptions'!B44</f>
        <v>1033.9537500000001</v>
      </c>
      <c r="F54" s="294">
        <f t="shared" si="7"/>
        <v>1033.9537500000001</v>
      </c>
      <c r="G54" s="294">
        <f t="shared" si="7"/>
        <v>1033.9537500000001</v>
      </c>
      <c r="H54" s="294">
        <f t="shared" si="7"/>
        <v>1033.9537500000001</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24.920375</v>
      </c>
      <c r="D55" s="299">
        <f>E55*'Conversion Tables'!C48</f>
        <v>73.584883300000001</v>
      </c>
      <c r="E55" s="299">
        <f>C55*'Prac. Rec. Assumptions'!B45</f>
        <v>4.9840750000000007</v>
      </c>
      <c r="F55" s="294">
        <f t="shared" si="7"/>
        <v>4.9840750000000007</v>
      </c>
      <c r="G55" s="294">
        <f t="shared" si="7"/>
        <v>4.9840750000000007</v>
      </c>
      <c r="H55" s="294">
        <f t="shared" si="7"/>
        <v>4.9840750000000007</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46.364125000000001</v>
      </c>
      <c r="D56" s="299">
        <f>E56*'Conversion Tables'!C49</f>
        <v>136.90398830000001</v>
      </c>
      <c r="E56" s="299">
        <f>C56*'Prac. Rec. Assumptions'!B46</f>
        <v>9.272825000000001</v>
      </c>
      <c r="F56" s="294">
        <f t="shared" si="7"/>
        <v>9.272825000000001</v>
      </c>
      <c r="G56" s="294">
        <f t="shared" si="7"/>
        <v>9.272825000000001</v>
      </c>
      <c r="H56" s="294">
        <f t="shared" si="7"/>
        <v>9.272825000000001</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6.8620000000000001</v>
      </c>
      <c r="D57" s="299">
        <f>E57*'Conversion Tables'!C50</f>
        <v>50.655284000000002</v>
      </c>
      <c r="E57" s="299">
        <f>C57*'Prac. Rec. Assumptions'!B47</f>
        <v>3.431</v>
      </c>
      <c r="F57" s="294">
        <f t="shared" si="7"/>
        <v>3.431</v>
      </c>
      <c r="G57" s="294">
        <f t="shared" si="7"/>
        <v>3.431</v>
      </c>
      <c r="H57" s="294">
        <f t="shared" si="7"/>
        <v>3.431</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10.67625</v>
      </c>
      <c r="D58" s="299">
        <f>E58*'Conversion Tables'!C51</f>
        <v>128.11500000000001</v>
      </c>
      <c r="E58" s="299">
        <f>C58*'Prac. Rec. Assumptions'!B48</f>
        <v>10.67625</v>
      </c>
      <c r="F58" s="294">
        <f t="shared" si="7"/>
        <v>10.67625</v>
      </c>
      <c r="G58" s="294">
        <f t="shared" si="7"/>
        <v>10.67625</v>
      </c>
      <c r="H58" s="294">
        <f t="shared" si="7"/>
        <v>10.67625</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0.43800000000000006</v>
      </c>
      <c r="D59" s="299">
        <f>E59*'Conversion Tables'!C52</f>
        <v>6.4666320000000006</v>
      </c>
      <c r="E59" s="299">
        <f>C59*'Prac. Rec. Assumptions'!B49</f>
        <v>0.43800000000000006</v>
      </c>
      <c r="F59" s="294">
        <f t="shared" si="7"/>
        <v>0.43800000000000006</v>
      </c>
      <c r="G59" s="294">
        <f t="shared" si="7"/>
        <v>0.43800000000000006</v>
      </c>
      <c r="H59" s="294">
        <f t="shared" si="7"/>
        <v>0.43800000000000006</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Assumptions'!AE10</f>
        <v>5855.2502579999982</v>
      </c>
      <c r="D60" s="299">
        <f>E60*'Conversion Tables'!C53</f>
        <v>70263.003095999971</v>
      </c>
      <c r="E60" s="299">
        <f>C60*'Prac. Rec. Assumptions'!B50</f>
        <v>5855.2502579999982</v>
      </c>
      <c r="F60" s="294">
        <f>($C60*(1+'Biomass Data Assumptions'!G$95*(4/5)))*'Prac. Rec. Assumptions'!$B50</f>
        <v>5878.77531215615</v>
      </c>
      <c r="G60" s="294">
        <f>($C60*(1+'Biomass Data Assumptions'!H$95*(9/10)))*'Prac. Rec. Assumptions'!$B50</f>
        <v>5976.3816666598004</v>
      </c>
      <c r="H60" s="294">
        <f>($C60*(1+'Biomass Data Assumptions'!I$95*(14/15)))*'Prac. Rec. Assumptions'!$B50</f>
        <v>6051.5939792263453</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7825.1505129999987</v>
      </c>
      <c r="D61" s="295">
        <f>SUM(D52:D60)</f>
        <v>86495.216419843971</v>
      </c>
      <c r="E61" s="295">
        <f t="shared" ref="E61:P61" si="8">SUM(E52:E60)</f>
        <v>6956.6944789999989</v>
      </c>
      <c r="F61" s="295">
        <f>SUM(F52:F60)</f>
        <v>6980.2195331561506</v>
      </c>
      <c r="G61" s="295">
        <f>SUM(G52:G60)</f>
        <v>7077.8258876598011</v>
      </c>
      <c r="H61" s="295">
        <f>SUM(H52:H60)</f>
        <v>7153.0382002263459</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Assumptions'!AB10</f>
        <v>191.62956249999999</v>
      </c>
      <c r="D63" s="300">
        <f>E63*'Conversion Tables'!C55</f>
        <v>118618.69918749999</v>
      </c>
      <c r="E63" s="299">
        <f>C63*'Prac. Rec. Assumptions'!B51</f>
        <v>191.62956249999999</v>
      </c>
      <c r="F63" s="294">
        <f>($C63*(1+'Biomass Data Assumptions'!G$95*(4/5)))*'Prac. Rec. Assumptions'!$B51</f>
        <v>192.39948618166889</v>
      </c>
      <c r="G63" s="294">
        <f>($C63*(1+'Biomass Data Assumptions'!H$95*(9/10)))*'Prac. Rec. Assumptions'!$B51</f>
        <v>195.59392914936254</v>
      </c>
      <c r="H63" s="294">
        <f>($C63*(1+'Biomass Data Assumptions'!I$95*(14/15)))*'Prac. Rec. Assumptions'!$B51</f>
        <v>198.05546399700597</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Assumptions'!X10</f>
        <v>22.866403519479036</v>
      </c>
      <c r="D64" s="300">
        <f>E64*'Conversion Tables'!C56</f>
        <v>11570.400180856392</v>
      </c>
      <c r="E64" s="299">
        <f>C64*'Prac. Rec. Assumptions'!B52</f>
        <v>22.866403519479036</v>
      </c>
      <c r="F64" s="545">
        <f>($C64*(1+'Biomass Data Assumptions'!G$95*(3/5))*(1+('Biomass Data Assumptions'!C$82-((1+'Biomass Data Assumptions'!$B$82)^2 - 1))))*'Prac. Rec. Assumptions'!$B52</f>
        <v>22.92596520465267</v>
      </c>
      <c r="G64" s="545">
        <f>($C64*(1+'Biomass Data Assumptions'!H$95*(4/5))*(1+('Biomass Data Assumptions'!D$82-((1+'Biomass Data Assumptions'!$B$82)^2 - 1))))*'Prac. Rec. Assumptions'!$B52</f>
        <v>23.261608368814692</v>
      </c>
      <c r="H64" s="545">
        <f>($C64*(1+'Biomass Data Assumptions'!I$95*(13/15))*(1+('Biomass Data Assumptions'!E$82-((1+'Biomass Data Assumptions'!$B$82)^2 - 1))))*'Prac. Rec. Assumptions'!$B52</f>
        <v>23.536821130141913</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214.49596601947903</v>
      </c>
      <c r="D65" s="295">
        <f>SUM(D63:D64)</f>
        <v>130189.09936835639</v>
      </c>
      <c r="E65" s="295">
        <f t="shared" ref="E65:P65" si="9">SUM(E63:E64)</f>
        <v>214.49596601947903</v>
      </c>
      <c r="F65" s="295">
        <f>SUM(F63:F64)</f>
        <v>215.32545138632156</v>
      </c>
      <c r="G65" s="295">
        <f>SUM(G63:G64)</f>
        <v>218.85553751817724</v>
      </c>
      <c r="H65" s="295">
        <f>SUM(H63:H64)</f>
        <v>221.59228512714787</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15225.408834256337</v>
      </c>
      <c r="D67" s="295">
        <f t="shared" ref="D67" si="10">D61+D65</f>
        <v>216684.31578820036</v>
      </c>
      <c r="E67" s="295">
        <f>E61+(E63*1000000/29487.1582406855)+(E64*1000000/25364.5039539246)</f>
        <v>14356.952800256337</v>
      </c>
      <c r="F67" s="295">
        <f t="shared" ref="F67:H67" si="11">F61+(F63*1000000/29487.1582406855)+(F64*1000000/25364.5039539246)</f>
        <v>14408.93655836176</v>
      </c>
      <c r="G67" s="295">
        <f t="shared" si="11"/>
        <v>14628.10906456516</v>
      </c>
      <c r="H67" s="295">
        <f t="shared" si="11"/>
        <v>14797.649886791654</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219855.87478290632</v>
      </c>
      <c r="D68" s="132"/>
      <c r="E68" s="132">
        <f>E11+E29+E43+E49+E67</f>
        <v>121168.35958506633</v>
      </c>
      <c r="F68" s="132">
        <f>F11+F29+F43+F49+F67</f>
        <v>123479.57706166964</v>
      </c>
      <c r="G68" s="132">
        <f>G11+G29+G43+G49+G67</f>
        <v>127372.09525752538</v>
      </c>
      <c r="H68" s="132">
        <f>H11+H29+H43+H49+H67</f>
        <v>130943.54170981253</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150" t="s">
        <v>598</v>
      </c>
      <c r="F73" s="38"/>
      <c r="G73" s="38"/>
      <c r="H73" s="36"/>
      <c r="I73" s="36"/>
      <c r="J73" s="36"/>
      <c r="K73" s="36"/>
      <c r="L73" s="36"/>
      <c r="M73" s="36"/>
      <c r="N73" s="36"/>
      <c r="O73" s="36"/>
      <c r="P73" s="36"/>
      <c r="Q73" s="36"/>
      <c r="R73" s="36"/>
    </row>
    <row r="74" spans="1:19" x14ac:dyDescent="0.25">
      <c r="A74" s="39" t="s">
        <v>519</v>
      </c>
      <c r="B74" s="21">
        <v>213</v>
      </c>
      <c r="C74" s="40">
        <f>'Biomass Data Assumptions'!B38*B74</f>
        <v>13908.9</v>
      </c>
      <c r="D74" s="40">
        <f>(C74*'Biomass Data Assumptions'!C38)/2000</f>
        <v>389.44920000000002</v>
      </c>
      <c r="E74" s="41"/>
      <c r="F74" s="41"/>
      <c r="G74" s="41"/>
      <c r="H74" s="36"/>
      <c r="I74" s="36"/>
      <c r="J74" s="36"/>
      <c r="K74" s="36"/>
      <c r="L74" s="36"/>
      <c r="M74" s="36"/>
      <c r="N74" s="36"/>
      <c r="O74" s="36"/>
      <c r="P74" s="36"/>
      <c r="Q74" s="36"/>
      <c r="R74" s="36"/>
    </row>
    <row r="75" spans="1:19" x14ac:dyDescent="0.25">
      <c r="A75" s="39" t="s">
        <v>520</v>
      </c>
      <c r="B75" s="21">
        <v>492</v>
      </c>
      <c r="C75" s="40">
        <f>'Biomass Data Assumptions'!B39*B75</f>
        <v>13431.6</v>
      </c>
      <c r="D75" s="40">
        <f>(C75*'Biomass Data Assumptions'!C39)/2000</f>
        <v>376.08479999999997</v>
      </c>
      <c r="E75" s="41"/>
      <c r="F75" s="41"/>
      <c r="G75" s="41"/>
      <c r="H75" s="36"/>
      <c r="I75" s="36"/>
      <c r="J75" s="36"/>
      <c r="K75" s="36"/>
      <c r="L75" s="36"/>
      <c r="M75" s="36"/>
      <c r="N75" s="36"/>
      <c r="O75" s="36"/>
      <c r="P75" s="36"/>
      <c r="Q75" s="36"/>
      <c r="R75" s="36"/>
    </row>
    <row r="76" spans="1:19" x14ac:dyDescent="0.25">
      <c r="A76" s="39" t="s">
        <v>521</v>
      </c>
      <c r="B76" s="21">
        <v>411</v>
      </c>
      <c r="C76" s="40">
        <f>'Biomass Data Assumptions'!B40*B76</f>
        <v>51375</v>
      </c>
      <c r="D76" s="40">
        <f>(C76*'Biomass Data Assumptions'!C40)/2000</f>
        <v>1438.5</v>
      </c>
      <c r="E76" s="41"/>
      <c r="F76" s="41"/>
      <c r="G76" s="41"/>
      <c r="H76" s="36"/>
      <c r="I76" s="36"/>
      <c r="J76" s="36"/>
      <c r="K76" s="36"/>
      <c r="L76" s="36"/>
      <c r="M76" s="36"/>
      <c r="N76" s="36"/>
      <c r="O76" s="36"/>
      <c r="P76" s="36"/>
      <c r="Q76" s="36"/>
      <c r="R76" s="36"/>
    </row>
    <row r="77" spans="1:19" x14ac:dyDescent="0.25">
      <c r="A77" s="39" t="s">
        <v>525</v>
      </c>
      <c r="B77" s="21">
        <v>194</v>
      </c>
      <c r="C77" s="40">
        <f>'Biomass Data Assumptions'!B41*B77</f>
        <v>6208</v>
      </c>
      <c r="D77" s="40">
        <f>(C77*'Biomass Data Assumptions'!C41)/2000</f>
        <v>186.24</v>
      </c>
      <c r="E77" s="41"/>
      <c r="F77" s="41"/>
      <c r="G77" s="41"/>
      <c r="H77" s="36"/>
      <c r="I77" s="36"/>
      <c r="J77" s="36"/>
      <c r="K77" s="36"/>
      <c r="L77" s="36"/>
      <c r="M77" s="36"/>
      <c r="N77" s="36"/>
      <c r="O77" s="36"/>
      <c r="P77" s="36"/>
      <c r="Q77" s="36"/>
      <c r="R77" s="36"/>
    </row>
    <row r="78" spans="1:19" x14ac:dyDescent="0.25">
      <c r="A78" s="39" t="s">
        <v>522</v>
      </c>
      <c r="B78" s="21">
        <v>148</v>
      </c>
      <c r="C78" s="40">
        <f>'Biomass Data Assumptions'!B42*B78</f>
        <v>7992</v>
      </c>
      <c r="D78" s="40">
        <f>(C78*'Biomass Data Assumptions'!C42)/2000</f>
        <v>239.76</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150" t="s">
        <v>598</v>
      </c>
      <c r="F80" s="38"/>
      <c r="G80" s="38"/>
      <c r="H80" s="36"/>
      <c r="I80" s="36"/>
      <c r="J80" s="36"/>
      <c r="K80" s="36"/>
      <c r="L80" s="36"/>
      <c r="M80" s="36"/>
      <c r="N80" s="36"/>
      <c r="O80" s="36"/>
      <c r="P80" s="36"/>
      <c r="Q80" s="36"/>
      <c r="R80" s="36"/>
    </row>
    <row r="81" spans="1:18" x14ac:dyDescent="0.25">
      <c r="A81" s="39" t="s">
        <v>527</v>
      </c>
      <c r="B81" s="21">
        <v>443</v>
      </c>
      <c r="C81" s="40">
        <f>'Biomass Data Assumptions'!B49*B81</f>
        <v>443</v>
      </c>
      <c r="D81" s="40">
        <f>C81*'Energy Content Assumptions'!C11</f>
        <v>376.55</v>
      </c>
      <c r="E81" s="41"/>
      <c r="F81" s="41"/>
      <c r="G81" s="41"/>
      <c r="H81" s="36"/>
      <c r="I81" s="36"/>
      <c r="J81" s="36"/>
      <c r="K81" s="36"/>
      <c r="L81" s="36"/>
      <c r="M81" s="36"/>
      <c r="N81" s="36"/>
      <c r="O81" s="36"/>
      <c r="P81" s="36"/>
      <c r="Q81" s="36"/>
      <c r="R81" s="36"/>
    </row>
    <row r="82" spans="1:18" x14ac:dyDescent="0.25">
      <c r="A82" s="39" t="s">
        <v>520</v>
      </c>
      <c r="B82" s="21">
        <f>492+169</f>
        <v>661</v>
      </c>
      <c r="C82" s="40">
        <f>'Biomass Data Assumptions'!B50*B82</f>
        <v>1487.25</v>
      </c>
      <c r="D82" s="40">
        <f>C82*'Energy Content Assumptions'!C12</f>
        <v>1264.1624999999999</v>
      </c>
      <c r="E82" s="41"/>
      <c r="F82" s="41"/>
      <c r="G82" s="41"/>
      <c r="H82" s="36"/>
      <c r="I82" s="36"/>
      <c r="J82" s="36"/>
      <c r="K82" s="36"/>
      <c r="L82" s="36"/>
      <c r="M82" s="36"/>
      <c r="N82" s="36"/>
      <c r="O82" s="36"/>
      <c r="P82" s="36"/>
      <c r="Q82" s="36"/>
      <c r="R82" s="36"/>
    </row>
    <row r="83" spans="1:18" x14ac:dyDescent="0.25">
      <c r="A83" s="39" t="s">
        <v>521</v>
      </c>
      <c r="B83" s="21">
        <v>411</v>
      </c>
      <c r="C83" s="40">
        <f>'Biomass Data Assumptions'!B51*B83</f>
        <v>1027.5</v>
      </c>
      <c r="D83" s="40">
        <f>C83*'Energy Content Assumptions'!C13</f>
        <v>873.375</v>
      </c>
      <c r="E83" s="41"/>
      <c r="F83" s="41"/>
      <c r="G83" s="41"/>
      <c r="H83" s="36"/>
      <c r="I83" s="36"/>
      <c r="J83" s="36"/>
      <c r="K83" s="36"/>
      <c r="L83" s="36"/>
      <c r="M83" s="36"/>
      <c r="N83" s="36"/>
      <c r="O83" s="36"/>
      <c r="P83" s="36"/>
      <c r="Q83" s="36"/>
      <c r="R83" s="36"/>
    </row>
    <row r="84" spans="1:18" x14ac:dyDescent="0.25">
      <c r="A84" s="39" t="s">
        <v>528</v>
      </c>
      <c r="B84" s="21">
        <v>16</v>
      </c>
      <c r="C84" s="40">
        <f>'Biomass Data Assumptions'!B52*B84</f>
        <v>262.39999999999998</v>
      </c>
      <c r="D84" s="40">
        <f>C84*'Energy Content Assumptions'!C14</f>
        <v>91.839999999999989</v>
      </c>
      <c r="E84" s="41"/>
      <c r="F84" s="41"/>
      <c r="G84" s="41"/>
      <c r="H84" s="36"/>
      <c r="I84" s="36"/>
      <c r="J84" s="36"/>
      <c r="K84" s="36"/>
      <c r="L84" s="36"/>
      <c r="M84" s="36"/>
      <c r="N84" s="36"/>
      <c r="O84" s="36"/>
      <c r="P84" s="36"/>
      <c r="Q84" s="36"/>
      <c r="R84" s="36"/>
    </row>
    <row r="85" spans="1:18" x14ac:dyDescent="0.25">
      <c r="A85" s="39" t="s">
        <v>529</v>
      </c>
      <c r="B85" s="21">
        <v>605</v>
      </c>
      <c r="C85" s="40">
        <f>'Biomass Data Assumptions'!B53*B85</f>
        <v>1936</v>
      </c>
      <c r="D85" s="40">
        <f>C85*'Energy Content Assumptions'!C15</f>
        <v>1645.6</v>
      </c>
      <c r="E85" s="41"/>
      <c r="F85" s="41"/>
      <c r="G85" s="41"/>
      <c r="H85" s="36"/>
      <c r="I85" s="36"/>
      <c r="J85" s="36"/>
      <c r="K85" s="36"/>
      <c r="L85" s="36"/>
      <c r="M85" s="36"/>
      <c r="N85" s="36"/>
      <c r="O85" s="36"/>
      <c r="P85" s="36"/>
      <c r="Q85" s="36"/>
      <c r="R85" s="36"/>
    </row>
    <row r="86" spans="1:18" x14ac:dyDescent="0.25">
      <c r="A86" s="39" t="s">
        <v>530</v>
      </c>
      <c r="B86" s="21">
        <v>710</v>
      </c>
      <c r="C86" s="40">
        <f>'Biomass Data Assumptions'!B54*B86</f>
        <v>1207</v>
      </c>
      <c r="D86" s="40">
        <f>C86*'Energy Content Assumptions'!C16</f>
        <v>1025.95</v>
      </c>
      <c r="E86" s="41"/>
      <c r="F86" s="41"/>
      <c r="G86" s="41"/>
      <c r="H86" s="36"/>
      <c r="I86" s="36"/>
      <c r="J86" s="36"/>
      <c r="K86" s="36"/>
      <c r="L86" s="36"/>
      <c r="M86" s="36"/>
      <c r="N86" s="36"/>
      <c r="O86" s="36"/>
      <c r="P86" s="36"/>
      <c r="Q86" s="36"/>
      <c r="R86" s="36"/>
    </row>
    <row r="87" spans="1:18" x14ac:dyDescent="0.25">
      <c r="A87" s="39" t="s">
        <v>522</v>
      </c>
      <c r="B87" s="21">
        <v>160</v>
      </c>
      <c r="C87" s="40">
        <f>'Biomass Data Assumptions'!B55*B87</f>
        <v>280</v>
      </c>
      <c r="D87" s="40">
        <f>C87*'Energy Content Assumptions'!C17</f>
        <v>238</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x14ac:dyDescent="0.25">
      <c r="A94" s="459"/>
      <c r="B94" s="457"/>
      <c r="C94" s="458"/>
      <c r="D94" s="458"/>
      <c r="E94" s="463"/>
      <c r="F94" s="457"/>
      <c r="G94" s="457"/>
      <c r="H94" s="36"/>
      <c r="I94" s="36"/>
      <c r="J94" s="44"/>
      <c r="K94" s="44"/>
      <c r="L94" s="44"/>
      <c r="M94" s="44"/>
      <c r="N94" s="36"/>
      <c r="O94" s="36"/>
      <c r="P94" s="36"/>
      <c r="Q94" s="36"/>
      <c r="R94" s="36"/>
    </row>
    <row r="95" spans="1:18" x14ac:dyDescent="0.25">
      <c r="A95" s="456"/>
      <c r="B95" s="458"/>
      <c r="C95" s="458"/>
      <c r="D95" s="458"/>
      <c r="E95" s="458"/>
      <c r="F95" s="458"/>
      <c r="G95" s="458"/>
      <c r="H95" s="36"/>
      <c r="I95" s="36"/>
      <c r="J95" s="41"/>
      <c r="K95" s="41"/>
      <c r="L95" s="41"/>
      <c r="M95" s="41"/>
      <c r="N95" s="36"/>
      <c r="O95" s="36"/>
      <c r="P95" s="36"/>
      <c r="Q95" s="36"/>
      <c r="R95" s="36"/>
    </row>
    <row r="96" spans="1:18" x14ac:dyDescent="0.25">
      <c r="A96" s="456"/>
      <c r="B96" s="458"/>
      <c r="C96" s="458"/>
      <c r="D96" s="458"/>
      <c r="E96" s="458"/>
      <c r="F96" s="458"/>
      <c r="G96" s="458"/>
      <c r="H96" s="36"/>
      <c r="I96" s="36"/>
      <c r="J96" s="41"/>
      <c r="K96" s="41"/>
      <c r="L96" s="41"/>
      <c r="M96" s="41"/>
      <c r="N96" s="36"/>
      <c r="O96" s="36"/>
      <c r="P96" s="36"/>
      <c r="Q96" s="36"/>
      <c r="R96" s="36"/>
    </row>
    <row r="97" spans="1:18" x14ac:dyDescent="0.25">
      <c r="A97" s="467" t="s">
        <v>535</v>
      </c>
      <c r="B97" s="85">
        <v>123</v>
      </c>
      <c r="C97" s="41">
        <f>ROUND('Biomass Data Assumptions'!$B$60/1000*B97,0)</f>
        <v>123</v>
      </c>
      <c r="D97" s="41">
        <f>'Biomass Data Assumptions'!$C$60*C97</f>
        <v>4130340</v>
      </c>
      <c r="E97" s="41">
        <f>('Biomass Data Assumptions'!$D$60*'Energy Content Assumptions'!$C$44*D97)/2000</f>
        <v>49.564080000000004</v>
      </c>
      <c r="F97" s="41">
        <f>('Biomass Data Assumptions'!$E$60*B97*365)/2000</f>
        <v>89.79</v>
      </c>
      <c r="G97" s="41">
        <f>F97+E97</f>
        <v>139.35408000000001</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10</v>
      </c>
      <c r="C100" s="41">
        <f>ROUND('Biomass Data Assumptions'!B62/1000*B100,0)</f>
        <v>4</v>
      </c>
      <c r="D100" s="41">
        <f>'Biomass Data Assumptions'!C62*C100</f>
        <v>116800</v>
      </c>
      <c r="E100" s="41">
        <f>('Biomass Data Assumptions'!D62*'Energy Content Assumptions'!C46*D100)/2000</f>
        <v>5.2560000000000002</v>
      </c>
      <c r="F100" s="41">
        <f>('Biomass Data Assumptions'!E62*B100*365)/2000</f>
        <v>9.125</v>
      </c>
      <c r="G100" s="41">
        <f>F100+E100</f>
        <v>14.381</v>
      </c>
      <c r="H100" s="36"/>
      <c r="I100" s="36"/>
      <c r="J100" s="41"/>
      <c r="K100" s="41"/>
      <c r="L100" s="41"/>
      <c r="M100" s="41"/>
      <c r="N100" s="36"/>
      <c r="O100" s="36"/>
      <c r="P100" s="36"/>
      <c r="Q100" s="36"/>
      <c r="R100" s="36"/>
    </row>
    <row r="101" spans="1:18" hidden="1" x14ac:dyDescent="0.25">
      <c r="A101" s="456"/>
      <c r="B101" s="458"/>
      <c r="C101" s="458"/>
      <c r="D101" s="458"/>
      <c r="E101" s="458"/>
      <c r="F101" s="458"/>
      <c r="G101" s="458"/>
      <c r="H101" s="36"/>
      <c r="I101" s="36"/>
      <c r="J101" s="41"/>
      <c r="K101" s="41"/>
      <c r="L101" s="41"/>
      <c r="M101" s="41"/>
      <c r="N101" s="36"/>
      <c r="O101" s="36"/>
      <c r="P101" s="36"/>
      <c r="Q101" s="36"/>
      <c r="R101" s="36"/>
    </row>
    <row r="102" spans="1:18" ht="11.25" customHeight="1" x14ac:dyDescent="0.25">
      <c r="A102" s="460" t="s">
        <v>604</v>
      </c>
      <c r="B102" s="85">
        <v>1</v>
      </c>
      <c r="C102" s="41">
        <f>ROUND('Biomass Data Assumptions'!B64/1000*B102,0)</f>
        <v>1</v>
      </c>
      <c r="D102" s="41">
        <f>'Biomass Data Assumptions'!C64*C102</f>
        <v>40515</v>
      </c>
      <c r="E102" s="41">
        <f>('Biomass Data Assumptions'!D64*'Energy Content Assumptions'!C48*D102)/2000</f>
        <v>1.823175</v>
      </c>
      <c r="F102" s="41">
        <f>'Biomass Data Assumptions'!E64*B102*365/2000</f>
        <v>1.825</v>
      </c>
      <c r="G102" s="41">
        <f>F102+E102</f>
        <v>3.6481750000000002</v>
      </c>
      <c r="H102" s="36"/>
      <c r="I102" s="36"/>
      <c r="J102" s="41"/>
      <c r="K102" s="41"/>
      <c r="L102" s="41"/>
      <c r="M102" s="41"/>
      <c r="N102" s="36"/>
      <c r="O102" s="36"/>
      <c r="P102" s="36"/>
      <c r="Q102" s="36"/>
      <c r="R102" s="36"/>
    </row>
    <row r="103" spans="1:18" hidden="1" x14ac:dyDescent="0.25">
      <c r="A103" s="456"/>
      <c r="B103" s="458"/>
      <c r="C103" s="458"/>
      <c r="D103" s="458"/>
      <c r="E103" s="458"/>
      <c r="F103" s="458"/>
      <c r="G103" s="458"/>
      <c r="H103" s="36"/>
      <c r="I103" s="36"/>
      <c r="J103" s="41"/>
      <c r="K103" s="41"/>
      <c r="L103" s="41"/>
      <c r="M103" s="41"/>
      <c r="N103" s="36"/>
      <c r="O103" s="36"/>
      <c r="P103" s="36"/>
      <c r="Q103" s="36"/>
      <c r="R103" s="36"/>
    </row>
    <row r="104" spans="1:18" x14ac:dyDescent="0.25">
      <c r="A104" s="467" t="s">
        <v>544</v>
      </c>
      <c r="B104" s="85">
        <v>11</v>
      </c>
      <c r="C104" s="41">
        <f>SUM(C100:C103)</f>
        <v>5</v>
      </c>
      <c r="D104" s="41">
        <f>SUM(D100:D103)</f>
        <v>157315</v>
      </c>
      <c r="E104" s="41">
        <f>SUM(E100:E103)</f>
        <v>7.0791750000000002</v>
      </c>
      <c r="F104" s="41">
        <f>SUM(F100:F103)</f>
        <v>10.95</v>
      </c>
      <c r="G104" s="41">
        <f>SUM(G100:G103)</f>
        <v>18.029175000000002</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500</v>
      </c>
      <c r="C106" s="41">
        <f>ROUND('Biomass Data Assumptions'!B66/1000*B106,0)</f>
        <v>500</v>
      </c>
      <c r="D106" s="41">
        <f>'Biomass Data Assumptions'!C66*C106</f>
        <v>10128750</v>
      </c>
      <c r="E106" s="41">
        <f>('Biomass Data Assumptions'!D66*'Energy Content Assumptions'!C50*D106)/2000</f>
        <v>354.50625000000008</v>
      </c>
      <c r="F106" s="41">
        <f>'Biomass Data Assumptions'!E66*B106*365/2000</f>
        <v>1368.75</v>
      </c>
      <c r="G106" s="41">
        <f>F106+E106</f>
        <v>1723.2562500000001</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114</v>
      </c>
      <c r="C108" s="41">
        <f>ROUND('Biomass Data Assumptions'!B67/1000*B108,0)</f>
        <v>11</v>
      </c>
      <c r="D108" s="41">
        <f>'Biomass Data Assumptions'!C67*C108</f>
        <v>164615</v>
      </c>
      <c r="E108" s="41">
        <f>('Biomass Data Assumptions'!D67*'Energy Content Assumptions'!C51*D108)/2000</f>
        <v>4.1153750000000002</v>
      </c>
      <c r="F108" s="41">
        <f>'Biomass Data Assumptions'!E67*B108*365/2000</f>
        <v>20.805</v>
      </c>
      <c r="G108" s="41">
        <f>F108+E108</f>
        <v>24.920375</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211</v>
      </c>
      <c r="C110" s="41">
        <f>ROUND('Biomass Data Assumptions'!B68/1000*B110,0)</f>
        <v>21</v>
      </c>
      <c r="D110" s="41">
        <f>'Biomass Data Assumptions'!C68*C110</f>
        <v>314265</v>
      </c>
      <c r="E110" s="41">
        <f>('Biomass Data Assumptions'!D68*'Energy Content Assumptions'!C52*D110)/2000</f>
        <v>7.8566250000000002</v>
      </c>
      <c r="F110" s="41">
        <f>'Biomass Data Assumptions'!E68*B110*365/2000</f>
        <v>38.5075</v>
      </c>
      <c r="G110" s="41">
        <f>F110+E110</f>
        <v>46.364125000000001</v>
      </c>
      <c r="H110" s="36"/>
      <c r="I110" s="36"/>
      <c r="J110" s="41"/>
      <c r="K110" s="41"/>
      <c r="L110" s="41"/>
      <c r="M110" s="41"/>
      <c r="N110" s="36"/>
      <c r="O110" s="36"/>
      <c r="P110" s="36"/>
      <c r="Q110" s="36"/>
      <c r="R110" s="36"/>
    </row>
    <row r="111" spans="1:18" ht="10.5" customHeight="1"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t="s">
        <v>548</v>
      </c>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39</v>
      </c>
      <c r="C115" s="41">
        <f>ROUND('Biomass Data Assumptions'!$B$71/1000*B115,0)</f>
        <v>16</v>
      </c>
      <c r="D115" s="41">
        <f>'Biomass Data Assumptions'!$C$71*C115</f>
        <v>274480</v>
      </c>
      <c r="E115" s="41">
        <f>('Biomass Data Assumptions'!$D$71*'Energy Content Assumptions'!$C$55*D115)/2000</f>
        <v>6.8620000000000001</v>
      </c>
      <c r="F115" s="41">
        <f>'Biomass Data Assumptions'!$E$71*B115*365/2000</f>
        <v>0</v>
      </c>
      <c r="G115" s="41">
        <f>F115+E115</f>
        <v>6.8620000000000001</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120+188+888</f>
        <v>1196</v>
      </c>
      <c r="C117" s="41">
        <f>ROUND('Biomass Data Assumptions'!B72/1000*B117,0)</f>
        <v>6</v>
      </c>
      <c r="D117" s="41">
        <f>'Biomass Data Assumptions'!C72*C117</f>
        <v>109500</v>
      </c>
      <c r="E117" s="41">
        <f>('Biomass Data Assumptions'!D72*'Energy Content Assumptions'!C56*D117)/2000</f>
        <v>10.67625</v>
      </c>
      <c r="F117" s="41">
        <f>'Biomass Data Assumptions'!E72*B117*365/2000</f>
        <v>0</v>
      </c>
      <c r="G117" s="41">
        <f>F117+E117</f>
        <v>10.67625</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24</v>
      </c>
      <c r="C119" s="41">
        <f>ROUND('Biomass Data Assumptions'!B73/1000*B119,0)</f>
        <v>0</v>
      </c>
      <c r="D119" s="41">
        <f>'Biomass Data Assumptions'!C73*C119</f>
        <v>0</v>
      </c>
      <c r="E119" s="41">
        <f>('Biomass Data Assumptions'!D73*'Energy Content Assumptions'!C57*D119)/2000</f>
        <v>0</v>
      </c>
      <c r="F119" s="41">
        <f>'Biomass Data Assumptions'!E73*B119*365/2000</f>
        <v>0.43800000000000006</v>
      </c>
      <c r="G119" s="41">
        <f>F119+E119</f>
        <v>0.43800000000000006</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2218</v>
      </c>
      <c r="C121" s="48">
        <f t="shared" si="14"/>
        <v>682</v>
      </c>
      <c r="D121" s="48">
        <f t="shared" si="14"/>
        <v>15279265</v>
      </c>
      <c r="E121" s="48">
        <f t="shared" si="14"/>
        <v>440.65975500000008</v>
      </c>
      <c r="F121" s="48">
        <f t="shared" si="14"/>
        <v>1529.2405000000001</v>
      </c>
      <c r="G121" s="48">
        <f t="shared" si="14"/>
        <v>1969.9002550000002</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48595.61</v>
      </c>
      <c r="C124" s="543">
        <f>B124*'Energy Content Assumptions'!C33</f>
        <v>43736.048999999999</v>
      </c>
      <c r="D124" s="36"/>
      <c r="E124" s="36"/>
      <c r="F124" s="36"/>
      <c r="G124" s="36"/>
      <c r="H124" s="36"/>
      <c r="I124" s="36"/>
      <c r="J124" s="36"/>
      <c r="K124" s="36"/>
      <c r="L124" s="36"/>
      <c r="M124" s="36"/>
      <c r="N124" s="36"/>
      <c r="O124" s="36"/>
      <c r="P124" s="36"/>
      <c r="Q124" s="36"/>
      <c r="R124" s="36"/>
    </row>
    <row r="125" spans="1:18" x14ac:dyDescent="0.25">
      <c r="A125" s="50" t="s">
        <v>556</v>
      </c>
      <c r="B125" s="87">
        <v>6742.23</v>
      </c>
      <c r="C125" s="543">
        <f>B125*'Energy Content Assumptions'!C34</f>
        <v>6068.0069999999996</v>
      </c>
      <c r="D125" s="36"/>
      <c r="E125" s="36"/>
      <c r="F125" s="36"/>
      <c r="G125" s="36"/>
      <c r="H125" s="36"/>
      <c r="I125" s="36"/>
      <c r="J125" s="36"/>
      <c r="K125" s="36"/>
      <c r="L125" s="36"/>
      <c r="M125" s="36"/>
      <c r="N125" s="36"/>
      <c r="O125" s="36"/>
      <c r="P125" s="36"/>
      <c r="Q125" s="36"/>
      <c r="R125" s="36"/>
    </row>
    <row r="126" spans="1:18" x14ac:dyDescent="0.25">
      <c r="A126" s="50" t="s">
        <v>557</v>
      </c>
      <c r="B126" s="87">
        <v>13741.64</v>
      </c>
      <c r="C126" s="543">
        <f>B126*'Energy Content Assumptions'!C35</f>
        <v>12367.476000000001</v>
      </c>
      <c r="D126" s="36"/>
      <c r="E126" s="36"/>
      <c r="F126" s="36"/>
      <c r="G126" s="36"/>
      <c r="H126" s="36"/>
      <c r="I126" s="36"/>
      <c r="J126" s="36"/>
      <c r="K126" s="36"/>
      <c r="L126" s="36"/>
      <c r="M126" s="36"/>
      <c r="N126" s="36"/>
      <c r="O126" s="36"/>
      <c r="P126" s="36"/>
      <c r="Q126" s="36"/>
      <c r="R126" s="36"/>
    </row>
    <row r="127" spans="1:18" x14ac:dyDescent="0.25">
      <c r="A127" s="50" t="s">
        <v>558</v>
      </c>
      <c r="B127" s="87">
        <v>11293.98</v>
      </c>
      <c r="C127" s="543">
        <f>B127*'Energy Content Assumptions'!C36</f>
        <v>10164.582</v>
      </c>
      <c r="D127" s="36"/>
      <c r="E127" s="36"/>
      <c r="F127" s="36"/>
      <c r="G127" s="36"/>
      <c r="H127" s="36"/>
      <c r="I127" s="36"/>
      <c r="J127" s="36"/>
      <c r="K127" s="36"/>
      <c r="L127" s="36"/>
      <c r="M127" s="36"/>
      <c r="N127" s="36"/>
      <c r="O127" s="36"/>
      <c r="P127" s="36"/>
      <c r="Q127" s="36"/>
      <c r="R127" s="36"/>
    </row>
    <row r="128" spans="1:18" x14ac:dyDescent="0.25">
      <c r="A128" s="50" t="s">
        <v>559</v>
      </c>
      <c r="B128" s="87">
        <v>28989.32</v>
      </c>
      <c r="C128" s="543">
        <f>B128*'Energy Content Assumptions'!C21</f>
        <v>14494.66</v>
      </c>
      <c r="D128" s="36"/>
      <c r="E128" s="36"/>
      <c r="F128" s="36"/>
      <c r="G128" s="36"/>
      <c r="H128" s="36"/>
      <c r="I128" s="36"/>
      <c r="J128" s="36"/>
      <c r="K128" s="36"/>
      <c r="L128" s="36"/>
      <c r="M128" s="36"/>
      <c r="N128" s="36"/>
      <c r="O128" s="36"/>
      <c r="P128" s="36"/>
      <c r="Q128" s="36"/>
      <c r="R128" s="36"/>
    </row>
    <row r="129" spans="1:18" x14ac:dyDescent="0.25">
      <c r="A129" s="50" t="s">
        <v>560</v>
      </c>
      <c r="B129" s="87">
        <v>18262.71</v>
      </c>
      <c r="C129" s="543">
        <f>B129*'Energy Content Assumptions'!C22</f>
        <v>6087.57</v>
      </c>
      <c r="D129" s="36"/>
      <c r="E129" s="36"/>
      <c r="F129" s="36"/>
      <c r="G129" s="36"/>
      <c r="H129" s="36"/>
      <c r="I129" s="36"/>
      <c r="J129" s="36"/>
      <c r="K129" s="36"/>
      <c r="L129" s="36"/>
      <c r="M129" s="36"/>
      <c r="N129" s="36"/>
      <c r="O129" s="36"/>
      <c r="P129" s="36"/>
      <c r="Q129" s="36"/>
      <c r="R129" s="36"/>
    </row>
    <row r="130" spans="1:18" x14ac:dyDescent="0.25">
      <c r="A130" s="50" t="s">
        <v>561</v>
      </c>
      <c r="B130" s="87">
        <v>66573.87</v>
      </c>
      <c r="C130" s="543">
        <f>B130*'Energy Content Assumptions'!C23</f>
        <v>22191.289999999997</v>
      </c>
      <c r="D130" s="36"/>
      <c r="E130" s="36"/>
      <c r="F130" s="36"/>
      <c r="G130" s="36"/>
      <c r="H130" s="36"/>
      <c r="I130" s="36"/>
      <c r="J130" s="36"/>
      <c r="K130" s="36"/>
      <c r="L130" s="36"/>
      <c r="M130" s="36"/>
      <c r="N130" s="36"/>
      <c r="O130" s="36"/>
      <c r="P130" s="36"/>
      <c r="Q130" s="36"/>
      <c r="R130" s="36"/>
    </row>
    <row r="131" spans="1:18" x14ac:dyDescent="0.25">
      <c r="A131" s="50" t="s">
        <v>562</v>
      </c>
      <c r="B131" s="87">
        <v>3222.28</v>
      </c>
      <c r="C131" s="543">
        <f>B131*'Energy Content Assumptions'!C24</f>
        <v>1611.14</v>
      </c>
      <c r="D131" s="36"/>
      <c r="E131" s="36"/>
      <c r="F131" s="36"/>
      <c r="G131" s="36"/>
      <c r="H131" s="36"/>
      <c r="I131" s="36"/>
      <c r="J131" s="36"/>
      <c r="K131" s="36"/>
      <c r="L131" s="36"/>
      <c r="M131" s="36"/>
      <c r="N131" s="36"/>
      <c r="O131" s="36"/>
      <c r="P131" s="36"/>
      <c r="Q131" s="36"/>
      <c r="R131" s="36"/>
    </row>
    <row r="132" spans="1:18" x14ac:dyDescent="0.25">
      <c r="A132" s="50" t="s">
        <v>563</v>
      </c>
      <c r="B132" s="87">
        <v>1899.37</v>
      </c>
      <c r="C132" s="543">
        <f>B132*'Energy Content Assumptions'!C31</f>
        <v>474.84249999999997</v>
      </c>
      <c r="D132" s="36"/>
      <c r="E132" s="36"/>
      <c r="F132" s="36"/>
      <c r="G132" s="36"/>
      <c r="H132" s="36"/>
      <c r="I132" s="36"/>
      <c r="J132" s="36"/>
      <c r="K132" s="36"/>
      <c r="L132" s="36"/>
      <c r="M132" s="36"/>
      <c r="N132" s="36"/>
      <c r="O132" s="36"/>
      <c r="P132" s="36"/>
      <c r="Q132" s="36"/>
      <c r="R132" s="36"/>
    </row>
    <row r="133" spans="1:18" x14ac:dyDescent="0.25">
      <c r="A133" s="50" t="s">
        <v>564</v>
      </c>
      <c r="B133" s="87">
        <v>20.68</v>
      </c>
      <c r="C133" s="543">
        <f>B133*'Energy Content Assumptions'!C19</f>
        <v>18.612000000000002</v>
      </c>
      <c r="D133" s="36"/>
      <c r="E133" s="36"/>
      <c r="F133" s="36"/>
      <c r="G133" s="36"/>
      <c r="H133" s="36"/>
      <c r="I133" s="36"/>
      <c r="J133" s="36"/>
      <c r="K133" s="36"/>
      <c r="L133" s="36"/>
      <c r="M133" s="36"/>
      <c r="N133" s="36"/>
      <c r="O133" s="36"/>
      <c r="P133" s="36"/>
      <c r="Q133" s="36"/>
      <c r="R133" s="36"/>
    </row>
    <row r="134" spans="1:18" x14ac:dyDescent="0.25">
      <c r="A134" s="50" t="s">
        <v>565</v>
      </c>
      <c r="B134" s="87">
        <v>3770.41</v>
      </c>
      <c r="C134" s="543">
        <f>B134*'Energy Content Assumptions'!C32</f>
        <v>3016.328</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Assumptions'!$M$10</f>
        <v>590903.79</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Assumptions'!$F$10</f>
        <v>363868.19</v>
      </c>
      <c r="C138" s="543">
        <f>B138*'Energy Content Assumptions'!$C$28</f>
        <v>181934.095</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Assumptions'!$H$10</f>
        <v>279236.40000000002</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Assumptions'!$I$10</f>
        <v>84631.789999999979</v>
      </c>
      <c r="C140" s="543">
        <f>B140*'Energy Content Assumptions'!$C$28</f>
        <v>42315.89499999999</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Assumptions'!J10,'Biomass Data Assumptions'!F10*'Biomass Data Assumptions'!I41)</f>
        <v>13388.749177999998</v>
      </c>
      <c r="C141" s="543">
        <f>B141*'Energy Content Assumptions'!C26</f>
        <v>4016.6247533999995</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Assumptions'!K10,'Biomass Data Assumptions'!F10*'Biomass Data Assumptions'!I42)</f>
        <v>16460.883154999996</v>
      </c>
      <c r="C142" s="543">
        <f>B142*'Energy Content Assumptions'!C27</f>
        <v>14814.794839499997</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Assumptions'!L10,'Biomass Data Assumptions'!F10*'Biomass Data Assumptions'!I43)</f>
        <v>22791.341046999994</v>
      </c>
      <c r="C143" s="543">
        <f>B143*'Energy Content Assumptions'!$C$28</f>
        <v>11395.670523499997</v>
      </c>
      <c r="D143" s="547" t="s">
        <v>1064</v>
      </c>
      <c r="E143" s="36"/>
      <c r="F143" s="36"/>
      <c r="G143" s="36"/>
      <c r="H143" s="36"/>
      <c r="I143" s="36"/>
      <c r="J143" s="36"/>
      <c r="K143" s="36"/>
      <c r="L143" s="36"/>
      <c r="M143" s="36"/>
      <c r="N143" s="36"/>
      <c r="O143" s="36"/>
      <c r="P143" s="36"/>
      <c r="Q143" s="36"/>
      <c r="R143" s="36"/>
    </row>
    <row r="144" spans="1:18" x14ac:dyDescent="0.25">
      <c r="A144" s="50" t="s">
        <v>463</v>
      </c>
      <c r="B144" s="87">
        <v>64321.79</v>
      </c>
      <c r="C144" s="543">
        <f>B144*'Energy Content Assumptions'!C29</f>
        <v>51457.432000000001</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20582.972800000003</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Assumptions'!R10/2000</f>
        <v>2260.0908000000004</v>
      </c>
      <c r="C148" s="1239">
        <f>B148*'Energy Content Assumptions'!C39</f>
        <v>1921.0771800000002</v>
      </c>
      <c r="D148" s="150" t="s">
        <v>1567</v>
      </c>
      <c r="E148" s="36"/>
      <c r="F148" s="36"/>
      <c r="G148" s="36"/>
      <c r="H148" s="36"/>
      <c r="I148" s="36"/>
      <c r="J148" s="36"/>
      <c r="K148" s="36"/>
      <c r="L148" s="36"/>
      <c r="M148" s="36"/>
      <c r="N148" s="36"/>
      <c r="O148" s="36"/>
      <c r="P148" s="36"/>
      <c r="Q148" s="36"/>
      <c r="R148" s="36"/>
    </row>
    <row r="149" spans="1:18" x14ac:dyDescent="0.25">
      <c r="A149" s="1236" t="s">
        <v>509</v>
      </c>
      <c r="B149" s="549">
        <f>'Biomass Data Assumptions'!S10/2000</f>
        <v>3433.7970449999998</v>
      </c>
      <c r="C149" s="1239">
        <f>B149*'Energy Content Assumptions'!C40</f>
        <v>171.68985225</v>
      </c>
      <c r="D149" s="150" t="s">
        <v>1566</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457"/>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S199"/>
  <sheetViews>
    <sheetView topLeftCell="A111" zoomScale="70" zoomScaleNormal="75"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447</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49.366799999999998</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116.18880000000001</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318.5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288.36</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772.41560000000004</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99.45</v>
      </c>
      <c r="D15" s="294">
        <f>E15*'Conversion Tables'!C14</f>
        <v>1251.6379199999999</v>
      </c>
      <c r="E15" s="294">
        <f>C15*'Prac. Rec. Assumptions'!B11</f>
        <v>79.56</v>
      </c>
      <c r="F15" s="294">
        <f>$E15</f>
        <v>79.56</v>
      </c>
      <c r="G15" s="294">
        <f>$E15</f>
        <v>79.56</v>
      </c>
      <c r="H15" s="294">
        <f>$E15</f>
        <v>79.56</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382.5</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193.375</v>
      </c>
      <c r="D17" s="294">
        <f>E17*'Conversion Tables'!C16</f>
        <v>2585.8491749999998</v>
      </c>
      <c r="E17" s="294">
        <f>C17*'Prac. Rec. Assumptions'!B13</f>
        <v>164.36875000000001</v>
      </c>
      <c r="F17" s="294">
        <f t="shared" si="2"/>
        <v>164.36875000000001</v>
      </c>
      <c r="G17" s="294">
        <f t="shared" si="2"/>
        <v>164.36875000000001</v>
      </c>
      <c r="H17" s="294">
        <f t="shared" si="2"/>
        <v>164.36875000000001</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40.179999999999993</v>
      </c>
      <c r="D18" s="294">
        <f>E18*'Conversion Tables'!C17</f>
        <v>474.08381999999989</v>
      </c>
      <c r="E18" s="294">
        <f>C18*'Prac. Rec. Assumptions'!B14</f>
        <v>30.134999999999994</v>
      </c>
      <c r="F18" s="294">
        <f t="shared" si="2"/>
        <v>30.134999999999994</v>
      </c>
      <c r="G18" s="294">
        <f t="shared" si="2"/>
        <v>30.134999999999994</v>
      </c>
      <c r="H18" s="294">
        <f t="shared" si="2"/>
        <v>30.134999999999994</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557.6</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958.03499999999985</v>
      </c>
      <c r="D20" s="294">
        <f>E20*'Conversion Tables'!C19</f>
        <v>7472.6729999999989</v>
      </c>
      <c r="E20" s="294">
        <f>C20*'Prac. Rec. Assumptions'!B16</f>
        <v>479.01749999999993</v>
      </c>
      <c r="F20" s="294">
        <f t="shared" si="2"/>
        <v>479.01749999999993</v>
      </c>
      <c r="G20" s="294">
        <f t="shared" si="2"/>
        <v>479.01749999999993</v>
      </c>
      <c r="H20" s="294">
        <f t="shared" si="2"/>
        <v>479.01749999999993</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264.77499999999998</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Assumptions'!P11*1000*'Energy Content Assumptions'!C18</f>
        <v>26537.5</v>
      </c>
      <c r="D22" s="294">
        <f>E22*'Conversion Tables'!C21</f>
        <v>206992.5</v>
      </c>
      <c r="E22" s="294">
        <f>C22*'Prac. Rec. Assumptions'!B18</f>
        <v>13268.75</v>
      </c>
      <c r="F22" s="294">
        <f t="shared" si="2"/>
        <v>13268.75</v>
      </c>
      <c r="G22" s="294">
        <f t="shared" si="2"/>
        <v>13268.75</v>
      </c>
      <c r="H22" s="294">
        <f t="shared" si="2"/>
        <v>13268.75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47427.75</v>
      </c>
      <c r="D23" s="294">
        <f>E23*'Conversion Tables'!C22</f>
        <v>774779.72399999993</v>
      </c>
      <c r="E23" s="294">
        <f>C23*'Prac. Rec. Assumptions'!B19</f>
        <v>47427.75</v>
      </c>
      <c r="F23" s="297">
        <f t="shared" si="2"/>
        <v>47427.75</v>
      </c>
      <c r="G23" s="297">
        <f t="shared" si="2"/>
        <v>47427.75</v>
      </c>
      <c r="H23" s="297">
        <f t="shared" si="2"/>
        <v>47427.75</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8671.11</v>
      </c>
      <c r="D25" s="294">
        <f>E25*'Conversion Tables'!C24</f>
        <v>153478.647</v>
      </c>
      <c r="E25" s="294">
        <f>C25*'Prac. Rec. Assumptions'!B21</f>
        <v>8671.11</v>
      </c>
      <c r="F25" s="294">
        <f>($C25*(1+'Biomass Data Assumptions'!G$96))*'Prac. Rec. Assumptions'!$B21</f>
        <v>8437.4842383419691</v>
      </c>
      <c r="G25" s="294">
        <f>($C25*(1+'Biomass Data Assumptions'!H$96))*'Prac. Rec. Assumptions'!$B21</f>
        <v>8446.4698445595859</v>
      </c>
      <c r="H25" s="294">
        <f>($C25*(1+'Biomass Data Assumptions'!I$96))*'Prac. Rec. Assumptions'!$B21</f>
        <v>8428.4986321243523</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1716.8400000000001</v>
      </c>
      <c r="D26" s="294">
        <f>E26*'Conversion Tables'!C25</f>
        <v>26782.704000000002</v>
      </c>
      <c r="E26" s="294">
        <f>C26*'Prac. Rec. Assumptions'!B22</f>
        <v>1716.8400000000001</v>
      </c>
      <c r="F26" s="294">
        <f>($C26*(1+'Biomass Data Assumptions'!G$96))*'Prac. Rec. Assumptions'!$B22</f>
        <v>1670.583170984456</v>
      </c>
      <c r="G26" s="294">
        <f>($C26*(1+'Biomass Data Assumptions'!H$96))*'Prac. Rec. Assumptions'!$B22</f>
        <v>1672.3622797927462</v>
      </c>
      <c r="H26" s="294">
        <f>($C26*(1+'Biomass Data Assumptions'!I$96))*'Prac. Rec. Assumptions'!$B22</f>
        <v>1668.8040621761661</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2905.7733333333331</v>
      </c>
      <c r="D27" s="294">
        <f>E27*'Conversion Tables'!C26</f>
        <v>45330.063999999998</v>
      </c>
      <c r="E27" s="294">
        <f>C27*'Prac. Rec. Assumptions'!B23</f>
        <v>2905.7733333333331</v>
      </c>
      <c r="F27" s="294">
        <f>($C27*(1+'Biomass Data Assumptions'!G$96))*'Prac. Rec. Assumptions'!$B23</f>
        <v>2827.4830673575125</v>
      </c>
      <c r="G27" s="294">
        <f>($C27*(1+'Biomass Data Assumptions'!H$96))*'Prac. Rec. Assumptions'!$B23</f>
        <v>2830.4942314335058</v>
      </c>
      <c r="H27" s="294">
        <f>($C27*(1+'Biomass Data Assumptions'!I$96))*'Prac. Rec. Assumptions'!$B23</f>
        <v>2824.4719032815196</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411.94499999999999</v>
      </c>
      <c r="D28" s="294">
        <f>E28*'Conversion Tables'!C27</f>
        <v>7291.4264999999996</v>
      </c>
      <c r="E28" s="294">
        <f>C28*'Prac. Rec. Assumptions'!B24</f>
        <v>411.94499999999999</v>
      </c>
      <c r="F28" s="294">
        <f>($C28*(1+'Biomass Data Assumptions'!G$96))*'Prac. Rec. Assumptions'!$B24</f>
        <v>400.84596373056991</v>
      </c>
      <c r="G28" s="294">
        <f>($C28*(1+'Biomass Data Assumptions'!H$96))*'Prac. Rec. Assumptions'!$B24</f>
        <v>401.27284974093266</v>
      </c>
      <c r="H28" s="294">
        <f>($C28*(1+'Biomass Data Assumptions'!I$96))*'Prac. Rec. Assumptions'!$B24</f>
        <v>400.41907772020727</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90166.833333333343</v>
      </c>
      <c r="D29" s="295">
        <f>SUM(D13:D28)</f>
        <v>1226439.3094149998</v>
      </c>
      <c r="E29" s="295">
        <f t="shared" si="3"/>
        <v>75155.249583333338</v>
      </c>
      <c r="F29" s="295">
        <f>SUM(F13:F28)</f>
        <v>74785.977690414496</v>
      </c>
      <c r="G29" s="295">
        <f>SUM(G13:G28)</f>
        <v>74800.180455526774</v>
      </c>
      <c r="H29" s="295">
        <f>SUM(H13:H28)</f>
        <v>74771.774925302234</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4319.3023272000009</v>
      </c>
      <c r="D32" s="294">
        <f>E32*'Conversion Tables'!C29</f>
        <v>41465.302341120012</v>
      </c>
      <c r="E32" s="294">
        <f>C32*'Prac. Rec. Assumptions'!B26</f>
        <v>2591.5813963200007</v>
      </c>
      <c r="F32" s="294">
        <f>($C32*(1+'Biomass Data Assumptions'!G$96)*(1+'Biomass Data Assumptions'!C$82))*'Prac. Rec. Assumptions'!$B26</f>
        <v>2520.0441844118459</v>
      </c>
      <c r="G32" s="294">
        <f>($C32*(1+'Biomass Data Assumptions'!H$96)*(1+'Biomass Data Assumptions'!D$82))*'Prac. Rec. Assumptions'!$B26</f>
        <v>2521.015056967206</v>
      </c>
      <c r="H32" s="294">
        <f>($C32*(1+'Biomass Data Assumptions'!I$96)*(1+'Biomass Data Assumptions'!E$82))*'Prac. Rec. Assumptions'!$B26</f>
        <v>2513.9431195372485</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15931.181466000002</v>
      </c>
      <c r="D33" s="294">
        <f>E33*'Conversion Tables'!C30</f>
        <v>185082.09379940163</v>
      </c>
      <c r="E33" s="294">
        <f>C33*'Prac. Rec. Assumptions'!B27</f>
        <v>12744.945172800002</v>
      </c>
      <c r="F33" s="294">
        <f>($C33*(1+'Biomass Data Assumptions'!G$96)*(1+'Biomass Data Assumptions'!C$82))*'Prac. Rec. Assumptions'!$B27</f>
        <v>12393.137645211225</v>
      </c>
      <c r="G33" s="294">
        <f>($C33*(1+'Biomass Data Assumptions'!H$96)*(1+'Biomass Data Assumptions'!D$82))*'Prac. Rec. Assumptions'!$B27</f>
        <v>12397.91222705743</v>
      </c>
      <c r="H33" s="294">
        <f>($C33*(1+'Biomass Data Assumptions'!I$96)*(1+'Biomass Data Assumptions'!E$82))*'Prac. Rec. Assumptions'!$B27</f>
        <v>12363.133672566239</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12254.404938</v>
      </c>
      <c r="D34" s="294">
        <f>E34*'Conversion Tables'!C31</f>
        <v>128130.09732693793</v>
      </c>
      <c r="E34" s="294">
        <f>C34*'Prac. Rec. Assumptions'!B28</f>
        <v>8823.1715553600006</v>
      </c>
      <c r="F34" s="294">
        <f>($C34*(1+'Biomass Data Assumptions'!G$96)*(1+'Biomass Data Assumptions'!C$82))*'Prac. Rec. Assumptions'!$B28</f>
        <v>8579.6194546410861</v>
      </c>
      <c r="G34" s="294">
        <f>($C34*(1+'Biomass Data Assumptions'!H$96)*(1+'Biomass Data Assumptions'!D$82))*'Prac. Rec. Assumptions'!$B28</f>
        <v>8582.9248399654662</v>
      </c>
      <c r="H34" s="294">
        <f>($C34*(1+'Biomass Data Assumptions'!I$96)*(1+'Biomass Data Assumptions'!E$82))*'Prac. Rec. Assumptions'!$B28</f>
        <v>8558.8480668948268</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21896.950400000002</v>
      </c>
      <c r="D35" s="294">
        <f>E35*'Conversion Tables'!C32</f>
        <v>248048.65413120005</v>
      </c>
      <c r="E35" s="294">
        <f>C35*'Prac. Rec. Assumptions'!B29</f>
        <v>14014.048256000004</v>
      </c>
      <c r="F35" s="294">
        <f>($C35*(1+'Biomass Data Assumptions'!G$96)*(1+'Biomass Data Assumptions'!C$83))*'Prac. Rec. Assumptions'!$B29</f>
        <v>14321.169630927563</v>
      </c>
      <c r="G35" s="294">
        <f>($C35*(1+'Biomass Data Assumptions'!H$96)*(1+'Biomass Data Assumptions'!D$83))*'Prac. Rec. Assumptions'!$B29</f>
        <v>15056.268520978021</v>
      </c>
      <c r="H35" s="294">
        <f>($C35*(1+'Biomass Data Assumptions'!I$96)*(1+'Biomass Data Assumptions'!E$83))*'Prac. Rec. Assumptions'!$B29</f>
        <v>15778.617116115567</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257.59500000000003</v>
      </c>
      <c r="D37" s="294">
        <f>E37*'Conversion Tables'!C34</f>
        <v>4121.5200000000004</v>
      </c>
      <c r="E37" s="294">
        <f>C37*'Prac. Rec. Assumptions'!B31</f>
        <v>257.59500000000003</v>
      </c>
      <c r="F37" s="294">
        <f>($C37*(1+'Biomass Data Assumptions'!G$96)*(1+'Biomass Data Assumptions'!C$84))*'Prac. Rec. Assumptions'!$B31</f>
        <v>274.08485393754819</v>
      </c>
      <c r="G37" s="294">
        <f>($C37*(1+'Biomass Data Assumptions'!H$96)*(1+'Biomass Data Assumptions'!D$84))*'Prac. Rec. Assumptions'!$B31</f>
        <v>300.02443543225809</v>
      </c>
      <c r="H37" s="294">
        <f>($C37*(1+'Biomass Data Assumptions'!I$96)*(1+'Biomass Data Assumptions'!E$84))*'Prac. Rec. Assumptions'!$B31</f>
        <v>327.37155474651536</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3860.2800000000007</v>
      </c>
      <c r="D38" s="294">
        <f>E38*'Conversion Tables'!C35</f>
        <v>34163.478000000003</v>
      </c>
      <c r="E38" s="294">
        <f>C38*'Prac. Rec. Assumptions'!B32</f>
        <v>1930.1400000000003</v>
      </c>
      <c r="F38" s="294">
        <f>($C38*(1+'Biomass Data Assumptions'!G$96)*(1+'Biomass Data Assumptions'!C$84))*'Prac. Rec. Assumptions'!$B32</f>
        <v>2053.6972378307782</v>
      </c>
      <c r="G38" s="294">
        <f>($C38*(1+'Biomass Data Assumptions'!H$96)*(1+'Biomass Data Assumptions'!D$84))*'Prac. Rec. Assumptions'!$B32</f>
        <v>2248.060574953779</v>
      </c>
      <c r="H38" s="294">
        <f>($C38*(1+'Biomass Data Assumptions'!I$96)*(1+'Biomass Data Assumptions'!E$84))*'Prac. Rec. Assumptions'!$B32</f>
        <v>2452.9704873093001</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11403.207</v>
      </c>
      <c r="D39" s="299">
        <f>E39*'Conversion Tables'!C36</f>
        <v>0</v>
      </c>
      <c r="E39" s="299">
        <f>C39*'Prac. Rec. Assumptions'!B33</f>
        <v>0</v>
      </c>
      <c r="F39" s="294">
        <f>($C39*(1+'Biomass Data Assumptions'!G$96)*(1+'Biomass Data Assumptions'!C$84))*'Prac. Rec. Assumptions'!$B33</f>
        <v>0</v>
      </c>
      <c r="G39" s="294">
        <f>($C39*(1+'Biomass Data Assumptions'!H$96)*(1+'Biomass Data Assumptions'!D$84))*'Prac. Rec. Assumptions'!$B33</f>
        <v>0</v>
      </c>
      <c r="H39" s="294">
        <f>($C39*(1+'Biomass Data Assumptions'!I$96)*(1+'Biomass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106.61399999999999</v>
      </c>
      <c r="D40" s="299">
        <f>E40*'Conversion Tables'!C37</f>
        <v>0</v>
      </c>
      <c r="E40" s="299">
        <f>C40*'Prac. Rec. Assumptions'!B34</f>
        <v>0</v>
      </c>
      <c r="F40" s="294">
        <f>($C40*(1+'Biomass Data Assumptions'!G$96)*(1+'Biomass Data Assumptions'!C$84))*'Prac. Rec. Assumptions'!$B34</f>
        <v>0</v>
      </c>
      <c r="G40" s="294">
        <f>($C40*(1+'Biomass Data Assumptions'!H$96)*(1+'Biomass Data Assumptions'!D$84))*'Prac. Rec. Assumptions'!$B34</f>
        <v>0</v>
      </c>
      <c r="H40" s="294">
        <f>($C40*(1+'Biomass Data Assumptions'!I$96)*(1+'Biomass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6902.2079999999996</v>
      </c>
      <c r="D41" s="299">
        <f>E41*'Conversion Tables'!C38</f>
        <v>0</v>
      </c>
      <c r="E41" s="299">
        <f>C41*'Prac. Rec. Assumptions'!B35</f>
        <v>0</v>
      </c>
      <c r="F41" s="294">
        <f>($C41*(1+'Biomass Data Assumptions'!G$96)*(1+'Biomass Data Assumptions'!C$84))*'Prac. Rec. Assumptions'!$B35</f>
        <v>0</v>
      </c>
      <c r="G41" s="294">
        <f>($C41*(1+'Biomass Data Assumptions'!H$96)*(1+'Biomass Data Assumptions'!D$84))*'Prac. Rec. Assumptions'!$B35</f>
        <v>0</v>
      </c>
      <c r="H41" s="294">
        <f>($C41*(1+'Biomass Data Assumptions'!I$96)*(1+'Biomass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9.2700000000000014</v>
      </c>
      <c r="D42" s="299">
        <f>E42*'Conversion Tables'!C39</f>
        <v>134.61894000000001</v>
      </c>
      <c r="E42" s="299">
        <f>C42*'Prac. Rec. Assumptions'!B36</f>
        <v>9.2700000000000014</v>
      </c>
      <c r="F42" s="294">
        <f>($C42*(1+'Biomass Data Assumptions'!G$96)*(1+'Biomass Data Assumptions'!C$84))*'Prac. Rec. Assumptions'!$B36</f>
        <v>9.8634158116464672</v>
      </c>
      <c r="G42" s="294">
        <f>($C42*(1+'Biomass Data Assumptions'!H$96)*(1+'Biomass Data Assumptions'!D$84))*'Prac. Rec. Assumptions'!$B36</f>
        <v>10.796896354576109</v>
      </c>
      <c r="H42" s="294">
        <f>($C42*(1+'Biomass Data Assumptions'!I$96)*(1+'Biomass Data Assumptions'!E$84))*'Prac. Rec. Assumptions'!$B36</f>
        <v>11.781029571615122</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76941.013131200001</v>
      </c>
      <c r="D43" s="295">
        <f t="shared" si="4"/>
        <v>641145.7645386596</v>
      </c>
      <c r="E43" s="295">
        <f t="shared" si="4"/>
        <v>40370.751380480004</v>
      </c>
      <c r="F43" s="295">
        <f t="shared" si="4"/>
        <v>40151.616422771694</v>
      </c>
      <c r="G43" s="295">
        <f t="shared" si="4"/>
        <v>41117.002551708734</v>
      </c>
      <c r="H43" s="295">
        <f t="shared" si="4"/>
        <v>42006.665046741313</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0</v>
      </c>
      <c r="D46" s="294">
        <f>E46*'Conversion Tables'!C41</f>
        <v>0</v>
      </c>
      <c r="E46" s="294">
        <f>C46*'Prac. Rec. Assumptions'!B38</f>
        <v>0</v>
      </c>
      <c r="F46" s="294">
        <f>$E46</f>
        <v>0</v>
      </c>
      <c r="G46" s="294">
        <f>$E46</f>
        <v>0</v>
      </c>
      <c r="H46" s="294">
        <f>$E46</f>
        <v>0</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363.77110000000005</v>
      </c>
      <c r="D47" s="294"/>
      <c r="E47" s="294">
        <f>C47*'Prac. Rec. Assumptions'!B39</f>
        <v>181.88555000000002</v>
      </c>
      <c r="F47" s="294">
        <f>($C47*(1+'Biomass Data Assumptions'!G$96))*'Prac. Rec. Assumptions'!$B39</f>
        <v>176.98500668393785</v>
      </c>
      <c r="G47" s="294">
        <f>($C47*(1+'Biomass Data Assumptions'!H$96))*'Prac. Rec. Assumptions'!$B39</f>
        <v>177.17348911917102</v>
      </c>
      <c r="H47" s="294">
        <f>($C47*(1+'Biomass Data Assumptions'!I$96))*'Prac. Rec. Assumptions'!$B39</f>
        <v>176.79652424870469</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32.510826250000001</v>
      </c>
      <c r="D48" s="294"/>
      <c r="E48" s="294">
        <f>C48*'Prac. Rec. Assumptions'!B40</f>
        <v>32.510826250000001</v>
      </c>
      <c r="F48" s="294">
        <f>($C48*(1+'Biomass Data Assumptions'!G$96))*'Prac. Rec. Assumptions'!$B40</f>
        <v>31.634886889896372</v>
      </c>
      <c r="G48" s="294">
        <f>($C48*(1+'Biomass Data Assumptions'!H$96))*'Prac. Rec. Assumptions'!$B40</f>
        <v>31.668576865284976</v>
      </c>
      <c r="H48" s="294">
        <f>($C48*(1+'Biomass Data Assumptions'!I$96))*'Prac. Rec. Assumptions'!$B40</f>
        <v>31.601196914507774</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396.28192625000003</v>
      </c>
      <c r="D49" s="295">
        <f>SUM(D45:D48)</f>
        <v>0</v>
      </c>
      <c r="E49" s="295">
        <f t="shared" si="6"/>
        <v>214.39637625000003</v>
      </c>
      <c r="F49" s="295">
        <f>SUM(F45:F48)</f>
        <v>208.61989357383422</v>
      </c>
      <c r="G49" s="295">
        <f>SUM(G45:G48)</f>
        <v>208.84206598445599</v>
      </c>
      <c r="H49" s="295">
        <f>SUM(H45:H48)</f>
        <v>208.39772116321245</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55.515039999999999</v>
      </c>
      <c r="D52" s="299">
        <f>E52*'Conversion Tables'!C45</f>
        <v>163.92481011200002</v>
      </c>
      <c r="E52" s="299">
        <f>C52*'Prac. Rec. Assumptions'!B42</f>
        <v>11.103008000000001</v>
      </c>
      <c r="F52" s="294">
        <f t="shared" ref="F52:H59" si="7">$E52</f>
        <v>11.103008000000001</v>
      </c>
      <c r="G52" s="294">
        <f t="shared" si="7"/>
        <v>11.103008000000001</v>
      </c>
      <c r="H52" s="294">
        <f t="shared" si="7"/>
        <v>11.103008000000001</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0</v>
      </c>
      <c r="D53" s="299">
        <f>E53*'Conversion Tables'!C46</f>
        <v>0</v>
      </c>
      <c r="E53" s="299">
        <f>C53*'Prac. Rec. Assumptions'!B43</f>
        <v>0</v>
      </c>
      <c r="F53" s="294">
        <f t="shared" si="7"/>
        <v>0</v>
      </c>
      <c r="G53" s="294">
        <f t="shared" si="7"/>
        <v>0</v>
      </c>
      <c r="H53" s="294">
        <f t="shared" si="7"/>
        <v>0</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820.26997499999993</v>
      </c>
      <c r="D54" s="299">
        <f>E54*'Conversion Tables'!C47</f>
        <v>7266.2795465399995</v>
      </c>
      <c r="E54" s="299">
        <f>C54*'Prac. Rec. Assumptions'!B44</f>
        <v>492.16198499999996</v>
      </c>
      <c r="F54" s="294">
        <f t="shared" si="7"/>
        <v>492.16198499999996</v>
      </c>
      <c r="G54" s="294">
        <f t="shared" si="7"/>
        <v>492.16198499999996</v>
      </c>
      <c r="H54" s="294">
        <f t="shared" si="7"/>
        <v>492.16198499999996</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38.115124999999999</v>
      </c>
      <c r="D55" s="299">
        <f>E55*'Conversion Tables'!C48</f>
        <v>112.54634109999999</v>
      </c>
      <c r="E55" s="299">
        <f>C55*'Prac. Rec. Assumptions'!B45</f>
        <v>7.6230250000000002</v>
      </c>
      <c r="F55" s="294">
        <f t="shared" si="7"/>
        <v>7.6230250000000002</v>
      </c>
      <c r="G55" s="294">
        <f t="shared" si="7"/>
        <v>7.6230250000000002</v>
      </c>
      <c r="H55" s="294">
        <f t="shared" si="7"/>
        <v>7.6230250000000002</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31.152749999999997</v>
      </c>
      <c r="D56" s="299">
        <f>E56*'Conversion Tables'!C49</f>
        <v>91.987840199999994</v>
      </c>
      <c r="E56" s="299">
        <f>C56*'Prac. Rec. Assumptions'!B46</f>
        <v>6.23055</v>
      </c>
      <c r="F56" s="294">
        <f t="shared" si="7"/>
        <v>6.23055</v>
      </c>
      <c r="G56" s="294">
        <f t="shared" si="7"/>
        <v>6.23055</v>
      </c>
      <c r="H56" s="294">
        <f t="shared" si="7"/>
        <v>6.23055</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233.30799999999999</v>
      </c>
      <c r="D57" s="299">
        <f>E57*'Conversion Tables'!C50</f>
        <v>1722.2796559999999</v>
      </c>
      <c r="E57" s="299">
        <f>C57*'Prac. Rec. Assumptions'!B47</f>
        <v>116.654</v>
      </c>
      <c r="F57" s="294">
        <f t="shared" si="7"/>
        <v>116.654</v>
      </c>
      <c r="G57" s="294">
        <f t="shared" si="7"/>
        <v>116.654</v>
      </c>
      <c r="H57" s="294">
        <f t="shared" si="7"/>
        <v>116.654</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10.67625</v>
      </c>
      <c r="D58" s="299">
        <f>E58*'Conversion Tables'!C51</f>
        <v>128.11500000000001</v>
      </c>
      <c r="E58" s="299">
        <f>C58*'Prac. Rec. Assumptions'!B48</f>
        <v>10.67625</v>
      </c>
      <c r="F58" s="294">
        <f t="shared" si="7"/>
        <v>10.67625</v>
      </c>
      <c r="G58" s="294">
        <f t="shared" si="7"/>
        <v>10.67625</v>
      </c>
      <c r="H58" s="294">
        <f t="shared" si="7"/>
        <v>10.67625</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1.83184375</v>
      </c>
      <c r="D59" s="299">
        <f>E59*'Conversion Tables'!C52</f>
        <v>27.045341125</v>
      </c>
      <c r="E59" s="299">
        <f>C59*'Prac. Rec. Assumptions'!B49</f>
        <v>1.83184375</v>
      </c>
      <c r="F59" s="294">
        <f t="shared" si="7"/>
        <v>1.83184375</v>
      </c>
      <c r="G59" s="294">
        <f t="shared" si="7"/>
        <v>1.83184375</v>
      </c>
      <c r="H59" s="294">
        <f t="shared" si="7"/>
        <v>1.83184375</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Assumptions'!AE11</f>
        <v>1.102310000000216</v>
      </c>
      <c r="D60" s="299">
        <f>E60*'Conversion Tables'!C53</f>
        <v>13.227720000002591</v>
      </c>
      <c r="E60" s="299">
        <f>C60*'Prac. Rec. Assumptions'!B50</f>
        <v>1.102310000000216</v>
      </c>
      <c r="F60" s="294">
        <f>($C60*(1+'Biomass Data Assumptions'!G$96*(4/5)))*'Prac. Rec. Assumptions'!$B50</f>
        <v>1.0785503647670507</v>
      </c>
      <c r="G60" s="294">
        <f>($C60*(1+'Biomass Data Assumptions'!H$96*(9/10)))*'Prac. Rec. Assumptions'!$B50</f>
        <v>1.0766084715028017</v>
      </c>
      <c r="H60" s="294">
        <f>($C60*(1+'Biomass Data Assumptions'!I$96*(14/15)))*'Prac. Rec. Assumptions'!$B50</f>
        <v>1.073524288083112</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1191.9712937500001</v>
      </c>
      <c r="D61" s="295">
        <f>SUM(D52:D60)</f>
        <v>9525.4062550770032</v>
      </c>
      <c r="E61" s="295">
        <f t="shared" ref="E61:P61" si="8">SUM(E52:E60)</f>
        <v>647.38297175000014</v>
      </c>
      <c r="F61" s="295">
        <f>SUM(F52:F60)</f>
        <v>647.35921211476693</v>
      </c>
      <c r="G61" s="295">
        <f>SUM(G52:G60)</f>
        <v>647.35727022150274</v>
      </c>
      <c r="H61" s="295">
        <f>SUM(H52:H60)</f>
        <v>647.35418603808307</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Assumptions'!AB11</f>
        <v>53.833302499999995</v>
      </c>
      <c r="D63" s="300">
        <f>E63*'Conversion Tables'!C55</f>
        <v>33322.814247499999</v>
      </c>
      <c r="E63" s="299">
        <f>C63*'Prac. Rec. Assumptions'!B51</f>
        <v>53.833302499999995</v>
      </c>
      <c r="F63" s="294">
        <f>($C63*(1+'Biomass Data Assumptions'!G$96*(4/5)))*'Prac. Rec. Assumptions'!$B51</f>
        <v>52.672957741450773</v>
      </c>
      <c r="G63" s="294">
        <f>($C63*(1+'Biomass Data Assumptions'!H$96*(9/10)))*'Prac. Rec. Assumptions'!$B51</f>
        <v>52.578121871761653</v>
      </c>
      <c r="H63" s="294">
        <f>($C63*(1+'Biomass Data Assumptions'!I$96*(14/15)))*'Prac. Rec. Assumptions'!$B51</f>
        <v>52.427500196373053</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Assumptions'!X11</f>
        <v>732.41336239999998</v>
      </c>
      <c r="D64" s="300">
        <f>E64*'Conversion Tables'!C56</f>
        <v>370601.16137439996</v>
      </c>
      <c r="E64" s="299">
        <f>C64*'Prac. Rec. Assumptions'!B52</f>
        <v>732.41336239999998</v>
      </c>
      <c r="F64" s="545">
        <f>($C64*(1+'Biomass Data Assumptions'!G$96*(3/5))*(1+('Biomass Data Assumptions'!C$82-((1+'Biomass Data Assumptions'!$B$82)^2 - 1))))*'Prac. Rec. Assumptions'!$B52</f>
        <v>720.27979935979874</v>
      </c>
      <c r="G64" s="545">
        <f>($C64*(1+'Biomass Data Assumptions'!H$96*(4/5))*(1+('Biomass Data Assumptions'!D$82-((1+'Biomass Data Assumptions'!$B$82)^2 - 1))))*'Prac. Rec. Assumptions'!$B52</f>
        <v>716.45500190066298</v>
      </c>
      <c r="H64" s="545">
        <f>($C64*(1+'Biomass Data Assumptions'!I$96*(13/15))*(1+('Biomass Data Assumptions'!E$82-((1+'Biomass Data Assumptions'!$B$82)^2 - 1))))*'Prac. Rec. Assumptions'!$B52</f>
        <v>713.39270397008374</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786.24666489999993</v>
      </c>
      <c r="D65" s="295">
        <f>SUM(D63:D64)</f>
        <v>403923.97562189994</v>
      </c>
      <c r="E65" s="295">
        <f t="shared" ref="E65:P65" si="9">SUM(E63:E64)</f>
        <v>786.24666489999993</v>
      </c>
      <c r="F65" s="295">
        <f>SUM(F63:F64)</f>
        <v>772.95275710124952</v>
      </c>
      <c r="G65" s="295">
        <f>SUM(G63:G64)</f>
        <v>769.03312377242469</v>
      </c>
      <c r="H65" s="295">
        <f>SUM(H63:H64)</f>
        <v>765.82020416645685</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ht="12" customHeight="1" x14ac:dyDescent="0.25">
      <c r="A67" s="1205"/>
      <c r="B67" s="9" t="s">
        <v>258</v>
      </c>
      <c r="C67" s="295">
        <f>C61+(C63*1000000/29487.1582406855)+(C64*1000000/25364.5039539246)</f>
        <v>31893.14851532691</v>
      </c>
      <c r="D67" s="295">
        <f t="shared" ref="D67" si="10">D61+D65</f>
        <v>413449.38187697693</v>
      </c>
      <c r="E67" s="295">
        <f>E61+(E63*1000000/29487.1582406855)+(E64*1000000/25364.5039539246)</f>
        <v>31348.56019332691</v>
      </c>
      <c r="F67" s="295">
        <f t="shared" ref="F67:H67" si="11">F61+(F63*1000000/29487.1582406855)+(F64*1000000/25364.5039539246)</f>
        <v>30830.817740288861</v>
      </c>
      <c r="G67" s="295">
        <f t="shared" si="11"/>
        <v>30676.806315021626</v>
      </c>
      <c r="H67" s="295">
        <f t="shared" si="11"/>
        <v>30550.963556782088</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200169.69250611024</v>
      </c>
      <c r="D68" s="132"/>
      <c r="E68" s="132">
        <f>E11+E29+E43+E49+E67</f>
        <v>147088.95753339026</v>
      </c>
      <c r="F68" s="132">
        <f>F11+F29+F43+F49+F67</f>
        <v>145977.0317470489</v>
      </c>
      <c r="G68" s="132">
        <f>G11+G29+G43+G49+G67</f>
        <v>146802.83138824158</v>
      </c>
      <c r="H68" s="132">
        <f>H11+H29+H43+H49+H67</f>
        <v>147537.80124998884</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27</v>
      </c>
      <c r="C74" s="40">
        <f>'Biomass Data Assumptions'!B38*B74</f>
        <v>1763.1</v>
      </c>
      <c r="D74" s="40">
        <f>(C74*'Biomass Data Assumptions'!C38)/2000</f>
        <v>49.366799999999998</v>
      </c>
      <c r="E74" s="41"/>
      <c r="F74" s="41"/>
      <c r="G74" s="41"/>
      <c r="H74" s="36"/>
      <c r="I74" s="36"/>
      <c r="J74" s="36"/>
      <c r="K74" s="36"/>
      <c r="L74" s="36"/>
      <c r="M74" s="36"/>
      <c r="N74" s="36"/>
      <c r="O74" s="36"/>
      <c r="P74" s="36"/>
      <c r="Q74" s="36"/>
      <c r="R74" s="36"/>
    </row>
    <row r="75" spans="1:19" x14ac:dyDescent="0.25">
      <c r="A75" s="39" t="s">
        <v>520</v>
      </c>
      <c r="B75" s="21">
        <v>152</v>
      </c>
      <c r="C75" s="40">
        <f>'Biomass Data Assumptions'!B39*B75</f>
        <v>4149.6000000000004</v>
      </c>
      <c r="D75" s="40">
        <f>(C75*'Biomass Data Assumptions'!C39)/2000</f>
        <v>116.18880000000001</v>
      </c>
      <c r="E75" s="41"/>
      <c r="F75" s="41"/>
      <c r="G75" s="41"/>
      <c r="H75" s="36"/>
      <c r="I75" s="36"/>
      <c r="J75" s="36"/>
      <c r="K75" s="36"/>
      <c r="L75" s="36"/>
      <c r="M75" s="36"/>
      <c r="N75" s="36"/>
      <c r="O75" s="36"/>
      <c r="P75" s="36"/>
      <c r="Q75" s="36"/>
      <c r="R75" s="36"/>
    </row>
    <row r="76" spans="1:19" x14ac:dyDescent="0.25">
      <c r="A76" s="39" t="s">
        <v>521</v>
      </c>
      <c r="B76" s="21">
        <v>91</v>
      </c>
      <c r="C76" s="40">
        <f>'Biomass Data Assumptions'!B40*B76</f>
        <v>11375</v>
      </c>
      <c r="D76" s="40">
        <f>(C76*'Biomass Data Assumptions'!C40)/2000</f>
        <v>318.5</v>
      </c>
      <c r="E76" s="41"/>
      <c r="F76" s="41"/>
      <c r="G76" s="41"/>
      <c r="H76" s="36"/>
      <c r="I76" s="36"/>
      <c r="J76" s="36"/>
      <c r="K76" s="36"/>
      <c r="L76" s="36"/>
      <c r="M76" s="36"/>
      <c r="N76" s="36"/>
      <c r="O76" s="36"/>
      <c r="P76" s="36"/>
      <c r="Q76" s="36"/>
      <c r="R76" s="36"/>
    </row>
    <row r="77" spans="1:19" x14ac:dyDescent="0.25">
      <c r="A77" s="39" t="s">
        <v>525</v>
      </c>
      <c r="B77" s="21">
        <v>0</v>
      </c>
      <c r="C77" s="40">
        <f>'Biomass Data Assumptions'!B41*B77</f>
        <v>0</v>
      </c>
      <c r="D77" s="40">
        <f>(C77*'Biomass Data Assumptions'!C41)/2000</f>
        <v>0</v>
      </c>
      <c r="E77" s="41"/>
      <c r="F77" s="41"/>
      <c r="G77" s="41"/>
      <c r="H77" s="36"/>
      <c r="I77" s="36"/>
      <c r="J77" s="36"/>
      <c r="K77" s="36"/>
      <c r="L77" s="36"/>
      <c r="M77" s="36"/>
      <c r="N77" s="36"/>
      <c r="O77" s="36"/>
      <c r="P77" s="36"/>
      <c r="Q77" s="36"/>
      <c r="R77" s="36"/>
    </row>
    <row r="78" spans="1:19" x14ac:dyDescent="0.25">
      <c r="A78" s="39" t="s">
        <v>522</v>
      </c>
      <c r="B78" s="21">
        <v>178</v>
      </c>
      <c r="C78" s="40">
        <f>'Biomass Data Assumptions'!B42*B78</f>
        <v>9612</v>
      </c>
      <c r="D78" s="40">
        <f>(C78*'Biomass Data Assumptions'!C42)/2000</f>
        <v>288.36</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117</v>
      </c>
      <c r="C81" s="40">
        <f>'Biomass Data Assumptions'!B49*B81</f>
        <v>117</v>
      </c>
      <c r="D81" s="40">
        <f>C81*'Energy Content Assumptions'!C11</f>
        <v>99.45</v>
      </c>
      <c r="E81" s="41"/>
      <c r="F81" s="41"/>
      <c r="G81" s="41"/>
      <c r="H81" s="36"/>
      <c r="I81" s="36"/>
      <c r="J81" s="36"/>
      <c r="K81" s="36"/>
      <c r="L81" s="36"/>
      <c r="M81" s="36"/>
      <c r="N81" s="36"/>
      <c r="O81" s="36"/>
      <c r="P81" s="36"/>
      <c r="Q81" s="36"/>
      <c r="R81" s="36"/>
    </row>
    <row r="82" spans="1:18" x14ac:dyDescent="0.25">
      <c r="A82" s="39" t="s">
        <v>520</v>
      </c>
      <c r="B82" s="21">
        <f>152+48</f>
        <v>200</v>
      </c>
      <c r="C82" s="40">
        <f>'Biomass Data Assumptions'!B50*B82</f>
        <v>450</v>
      </c>
      <c r="D82" s="40">
        <f>C82*'Energy Content Assumptions'!C12</f>
        <v>382.5</v>
      </c>
      <c r="E82" s="41"/>
      <c r="F82" s="41"/>
      <c r="G82" s="41"/>
      <c r="H82" s="36"/>
      <c r="I82" s="36"/>
      <c r="J82" s="36"/>
      <c r="K82" s="36"/>
      <c r="L82" s="36"/>
      <c r="M82" s="36"/>
      <c r="N82" s="36"/>
      <c r="O82" s="36"/>
      <c r="P82" s="36"/>
      <c r="Q82" s="36"/>
      <c r="R82" s="36"/>
    </row>
    <row r="83" spans="1:18" x14ac:dyDescent="0.25">
      <c r="A83" s="39" t="s">
        <v>521</v>
      </c>
      <c r="B83" s="21">
        <v>91</v>
      </c>
      <c r="C83" s="40">
        <f>'Biomass Data Assumptions'!B51*B83</f>
        <v>227.5</v>
      </c>
      <c r="D83" s="40">
        <f>C83*'Energy Content Assumptions'!C13</f>
        <v>193.375</v>
      </c>
      <c r="E83" s="41"/>
      <c r="F83" s="41"/>
      <c r="G83" s="41"/>
      <c r="H83" s="36"/>
      <c r="I83" s="36"/>
      <c r="J83" s="36"/>
      <c r="K83" s="36"/>
      <c r="L83" s="36"/>
      <c r="M83" s="36"/>
      <c r="N83" s="36"/>
      <c r="O83" s="36"/>
      <c r="P83" s="36"/>
      <c r="Q83" s="36"/>
      <c r="R83" s="36"/>
    </row>
    <row r="84" spans="1:18" x14ac:dyDescent="0.25">
      <c r="A84" s="39" t="s">
        <v>528</v>
      </c>
      <c r="B84" s="21">
        <v>7</v>
      </c>
      <c r="C84" s="40">
        <f>'Biomass Data Assumptions'!B52*B84</f>
        <v>114.79999999999998</v>
      </c>
      <c r="D84" s="40">
        <f>C84*'Energy Content Assumptions'!C14</f>
        <v>40.179999999999993</v>
      </c>
      <c r="E84" s="41"/>
      <c r="F84" s="41"/>
      <c r="G84" s="41"/>
      <c r="H84" s="36"/>
      <c r="I84" s="36"/>
      <c r="J84" s="36"/>
      <c r="K84" s="36"/>
      <c r="L84" s="36"/>
      <c r="M84" s="36"/>
      <c r="N84" s="36"/>
      <c r="O84" s="36"/>
      <c r="P84" s="36"/>
      <c r="Q84" s="36"/>
      <c r="R84" s="36"/>
    </row>
    <row r="85" spans="1:18" x14ac:dyDescent="0.25">
      <c r="A85" s="39" t="s">
        <v>529</v>
      </c>
      <c r="B85" s="21">
        <v>205</v>
      </c>
      <c r="C85" s="40">
        <f>'Biomass Data Assumptions'!B53*B85</f>
        <v>656</v>
      </c>
      <c r="D85" s="40">
        <f>C85*'Energy Content Assumptions'!C15</f>
        <v>557.6</v>
      </c>
      <c r="E85" s="41"/>
      <c r="F85" s="41"/>
      <c r="G85" s="41"/>
      <c r="H85" s="36"/>
      <c r="I85" s="36"/>
      <c r="J85" s="36"/>
      <c r="K85" s="36"/>
      <c r="L85" s="36"/>
      <c r="M85" s="36"/>
      <c r="N85" s="36"/>
      <c r="O85" s="36"/>
      <c r="P85" s="36"/>
      <c r="Q85" s="36"/>
      <c r="R85" s="36"/>
    </row>
    <row r="86" spans="1:18" x14ac:dyDescent="0.25">
      <c r="A86" s="39" t="s">
        <v>530</v>
      </c>
      <c r="B86" s="21">
        <v>663</v>
      </c>
      <c r="C86" s="40">
        <f>'Biomass Data Assumptions'!B54*B86</f>
        <v>1127.0999999999999</v>
      </c>
      <c r="D86" s="40">
        <f>C86*'Energy Content Assumptions'!C16</f>
        <v>958.03499999999985</v>
      </c>
      <c r="E86" s="41"/>
      <c r="F86" s="41"/>
      <c r="G86" s="41"/>
      <c r="H86" s="36"/>
      <c r="I86" s="36"/>
      <c r="J86" s="36"/>
      <c r="K86" s="36"/>
      <c r="L86" s="36"/>
      <c r="M86" s="36"/>
      <c r="N86" s="36"/>
      <c r="O86" s="36"/>
      <c r="P86" s="36"/>
      <c r="Q86" s="36"/>
      <c r="R86" s="36"/>
    </row>
    <row r="87" spans="1:18" x14ac:dyDescent="0.25">
      <c r="A87" s="39" t="s">
        <v>522</v>
      </c>
      <c r="B87" s="21">
        <v>178</v>
      </c>
      <c r="C87" s="40">
        <f>'Biomass Data Assumptions'!B55*B87</f>
        <v>311.5</v>
      </c>
      <c r="D87" s="40">
        <f>C87*'Energy Content Assumptions'!C17</f>
        <v>264.77499999999998</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x14ac:dyDescent="0.25">
      <c r="A94" s="43"/>
      <c r="B94" s="457"/>
      <c r="C94" s="41"/>
      <c r="D94" s="41"/>
      <c r="E94" s="44"/>
      <c r="F94" s="36"/>
      <c r="G94" s="36"/>
      <c r="H94" s="36"/>
      <c r="I94" s="36"/>
      <c r="J94" s="44"/>
      <c r="K94" s="44"/>
      <c r="L94" s="44"/>
      <c r="M94" s="44"/>
      <c r="N94" s="36"/>
      <c r="O94" s="36"/>
      <c r="P94" s="36"/>
      <c r="Q94" s="36"/>
      <c r="R94" s="36"/>
    </row>
    <row r="95" spans="1:18" x14ac:dyDescent="0.25">
      <c r="A95" s="45"/>
      <c r="B95" s="458"/>
      <c r="C95" s="41"/>
      <c r="D95" s="41"/>
      <c r="E95" s="41"/>
      <c r="F95" s="41"/>
      <c r="G95" s="41"/>
      <c r="H95" s="36"/>
      <c r="I95" s="36"/>
      <c r="J95" s="41"/>
      <c r="K95" s="41"/>
      <c r="L95" s="41"/>
      <c r="M95" s="41"/>
      <c r="N95" s="36"/>
      <c r="O95" s="36"/>
      <c r="P95" s="36"/>
      <c r="Q95" s="36"/>
      <c r="R95" s="36"/>
    </row>
    <row r="96" spans="1:18" x14ac:dyDescent="0.25">
      <c r="A96" s="45"/>
      <c r="B96" s="458"/>
      <c r="C96" s="41"/>
      <c r="D96" s="41"/>
      <c r="E96" s="41"/>
      <c r="F96" s="41"/>
      <c r="G96" s="41"/>
      <c r="H96" s="36"/>
      <c r="I96" s="36"/>
      <c r="J96" s="41"/>
      <c r="K96" s="41"/>
      <c r="L96" s="41"/>
      <c r="M96" s="41"/>
      <c r="N96" s="36"/>
      <c r="O96" s="36"/>
      <c r="P96" s="36"/>
      <c r="Q96" s="36"/>
      <c r="R96" s="36"/>
    </row>
    <row r="97" spans="1:18" x14ac:dyDescent="0.25">
      <c r="A97" s="467" t="s">
        <v>535</v>
      </c>
      <c r="B97" s="85">
        <v>49</v>
      </c>
      <c r="C97" s="41">
        <f>ROUND('Biomass Data Assumptions'!$B$60/1000*B97,0)</f>
        <v>49</v>
      </c>
      <c r="D97" s="41">
        <f>'Biomass Data Assumptions'!$C$60*C97</f>
        <v>1645420</v>
      </c>
      <c r="E97" s="41">
        <f>('Biomass Data Assumptions'!$D$60*'Energy Content Assumptions'!$C$44*D97)/2000</f>
        <v>19.745039999999999</v>
      </c>
      <c r="F97" s="41">
        <f>('Biomass Data Assumptions'!$E$60*B97*365)/2000</f>
        <v>35.770000000000003</v>
      </c>
      <c r="G97" s="41">
        <f>F97+E97</f>
        <v>55.515039999999999</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0</v>
      </c>
      <c r="C100" s="41">
        <f>ROUND('Biomass Data Assumptions'!B62/1000*B100,0)</f>
        <v>0</v>
      </c>
      <c r="D100" s="41">
        <f>'Biomass Data Assumptions'!C62*C100</f>
        <v>0</v>
      </c>
      <c r="E100" s="41">
        <f>('Biomass Data Assumptions'!D62*'Energy Content Assumptions'!C46*D100)/2000</f>
        <v>0</v>
      </c>
      <c r="F100" s="41">
        <f>('Biomass Data Assumptions'!E62*B100*365)/2000</f>
        <v>0</v>
      </c>
      <c r="G100" s="41">
        <f>F100+E100</f>
        <v>0</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ht="14.25" customHeight="1" x14ac:dyDescent="0.25">
      <c r="A102" s="460" t="s">
        <v>604</v>
      </c>
      <c r="B102" s="85">
        <v>0</v>
      </c>
      <c r="C102" s="41">
        <f>ROUND('Biomass Data Assumptions'!B64/1000*B102,0)</f>
        <v>0</v>
      </c>
      <c r="D102" s="41">
        <f>'Biomass Data Assumptions'!C64*C102</f>
        <v>0</v>
      </c>
      <c r="E102" s="41">
        <f>('Biomass Data Assumptions'!D64*'Energy Content Assumptions'!C48*D102)/2000</f>
        <v>0</v>
      </c>
      <c r="F102" s="41">
        <f>'Biomass Data Assumptions'!E64*B102*365/2000</f>
        <v>0</v>
      </c>
      <c r="G102" s="41">
        <f>F102+E102</f>
        <v>0</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 t="s">
        <v>544</v>
      </c>
      <c r="B104" s="85">
        <v>0</v>
      </c>
      <c r="C104" s="41">
        <f>SUM(C100:C103)</f>
        <v>0</v>
      </c>
      <c r="D104" s="41">
        <f>SUM(D100:D103)</f>
        <v>0</v>
      </c>
      <c r="E104" s="41">
        <f>SUM(E100:E103)</f>
        <v>0</v>
      </c>
      <c r="F104" s="41">
        <f>SUM(F100:F103)</f>
        <v>0</v>
      </c>
      <c r="G104" s="41">
        <f>SUM(G100:G103)</f>
        <v>0</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238</v>
      </c>
      <c r="C106" s="41">
        <f>ROUND('Biomass Data Assumptions'!B66/1000*B106,0)</f>
        <v>238</v>
      </c>
      <c r="D106" s="41">
        <f>'Biomass Data Assumptions'!C66*C106</f>
        <v>4821285</v>
      </c>
      <c r="E106" s="41">
        <f>('Biomass Data Assumptions'!D66*'Energy Content Assumptions'!C50*D106)/2000</f>
        <v>168.74497500000001</v>
      </c>
      <c r="F106" s="41">
        <f>'Biomass Data Assumptions'!E66*B106*365/2000</f>
        <v>651.52499999999998</v>
      </c>
      <c r="G106" s="41">
        <f>F106+E106</f>
        <v>820.26997499999993</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174</v>
      </c>
      <c r="C108" s="41">
        <f>ROUND('Biomass Data Assumptions'!B67/1000*B108,0)</f>
        <v>17</v>
      </c>
      <c r="D108" s="41">
        <f>'Biomass Data Assumptions'!C67*C108</f>
        <v>254405</v>
      </c>
      <c r="E108" s="41">
        <f>('Biomass Data Assumptions'!D67*'Energy Content Assumptions'!C51*D108)/2000</f>
        <v>6.360125</v>
      </c>
      <c r="F108" s="41">
        <f>'Biomass Data Assumptions'!E67*B108*365/2000</f>
        <v>31.754999999999999</v>
      </c>
      <c r="G108" s="41">
        <f>F108+E108</f>
        <v>38.115124999999999</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142</v>
      </c>
      <c r="C110" s="41">
        <f>ROUND('Biomass Data Assumptions'!B68/1000*B110,0)</f>
        <v>14</v>
      </c>
      <c r="D110" s="41">
        <f>'Biomass Data Assumptions'!C68*C110</f>
        <v>209510</v>
      </c>
      <c r="E110" s="41">
        <f>('Biomass Data Assumptions'!D68*'Energy Content Assumptions'!C52*D110)/2000</f>
        <v>5.2377500000000001</v>
      </c>
      <c r="F110" s="41">
        <f>'Biomass Data Assumptions'!E68*B110*365/2000</f>
        <v>25.914999999999999</v>
      </c>
      <c r="G110" s="41">
        <f>F110+E110</f>
        <v>31.152749999999997</v>
      </c>
      <c r="H110" s="36"/>
      <c r="I110" s="36"/>
      <c r="J110" s="41"/>
      <c r="K110" s="41"/>
      <c r="L110" s="41"/>
      <c r="M110" s="41"/>
      <c r="N110" s="36"/>
      <c r="O110" s="36"/>
      <c r="P110" s="36"/>
      <c r="Q110" s="36"/>
      <c r="R110" s="36"/>
    </row>
    <row r="111" spans="1:18" ht="14.4" customHeight="1" x14ac:dyDescent="0.25">
      <c r="A111" s="43"/>
      <c r="B111" s="41"/>
      <c r="C111" s="41"/>
      <c r="D111" s="41"/>
      <c r="E111" s="41"/>
      <c r="F111" s="41"/>
      <c r="G111" s="41"/>
      <c r="H111" s="36"/>
      <c r="I111" s="36"/>
      <c r="J111" s="41"/>
      <c r="K111" s="41"/>
      <c r="L111" s="41"/>
      <c r="M111" s="41"/>
      <c r="N111" s="36"/>
      <c r="O111" s="36"/>
      <c r="P111" s="36"/>
      <c r="Q111" s="36"/>
      <c r="R111" s="36"/>
    </row>
    <row r="112" spans="1:18" ht="0.75" hidden="1" customHeight="1" x14ac:dyDescent="0.25">
      <c r="A112" s="43" t="s">
        <v>548</v>
      </c>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1360</v>
      </c>
      <c r="C115" s="41">
        <f>ROUND('Biomass Data Assumptions'!$B$71/1000*B115,0)</f>
        <v>544</v>
      </c>
      <c r="D115" s="41">
        <f>'Biomass Data Assumptions'!$C$71*C115</f>
        <v>9332320</v>
      </c>
      <c r="E115" s="41">
        <f>('Biomass Data Assumptions'!$D$71*'Energy Content Assumptions'!$C$55*D115)/2000</f>
        <v>233.30799999999999</v>
      </c>
      <c r="F115" s="41">
        <f>'Biomass Data Assumptions'!$E$71*B115*365/2000</f>
        <v>0</v>
      </c>
      <c r="G115" s="41">
        <f>F115+E115</f>
        <v>233.30799999999999</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292+147+694</f>
        <v>1133</v>
      </c>
      <c r="C117" s="41">
        <f>ROUND('Biomass Data Assumptions'!B72/1000*B117,0)</f>
        <v>6</v>
      </c>
      <c r="D117" s="41">
        <f>'Biomass Data Assumptions'!C72*C117</f>
        <v>109500</v>
      </c>
      <c r="E117" s="41">
        <f>('Biomass Data Assumptions'!D72*'Energy Content Assumptions'!C56*D117)/2000</f>
        <v>10.67625</v>
      </c>
      <c r="F117" s="41">
        <f>'Biomass Data Assumptions'!E72*B117*365/2000</f>
        <v>0</v>
      </c>
      <c r="G117" s="41">
        <f>F117+E117</f>
        <v>10.67625</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31</v>
      </c>
      <c r="C119" s="41">
        <f>ROUND('Biomass Data Assumptions'!B73/1000*B119,0)</f>
        <v>1</v>
      </c>
      <c r="D119" s="41">
        <f>'Biomass Data Assumptions'!C73*C119</f>
        <v>13505</v>
      </c>
      <c r="E119" s="41">
        <f>('Biomass Data Assumptions'!D73*'Energy Content Assumptions'!C57*D119)/2000</f>
        <v>1.26609375</v>
      </c>
      <c r="F119" s="41">
        <f>'Biomass Data Assumptions'!E73*B119*365/2000</f>
        <v>0.56574999999999998</v>
      </c>
      <c r="G119" s="41">
        <f>F119+E119</f>
        <v>1.83184375</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3127</v>
      </c>
      <c r="C121" s="48">
        <f t="shared" si="14"/>
        <v>869</v>
      </c>
      <c r="D121" s="48">
        <f t="shared" si="14"/>
        <v>16385945</v>
      </c>
      <c r="E121" s="48">
        <f t="shared" si="14"/>
        <v>445.33823374999997</v>
      </c>
      <c r="F121" s="48">
        <f t="shared" si="14"/>
        <v>745.5307499999999</v>
      </c>
      <c r="G121" s="48">
        <f t="shared" si="14"/>
        <v>1190.8689837499999</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12670.23</v>
      </c>
      <c r="C124" s="543">
        <f>B124*'Energy Content Assumptions'!C33</f>
        <v>11403.207</v>
      </c>
      <c r="D124" s="36"/>
      <c r="E124" s="36"/>
      <c r="F124" s="36"/>
      <c r="G124" s="36"/>
      <c r="H124" s="36"/>
      <c r="I124" s="36"/>
      <c r="J124" s="36"/>
      <c r="K124" s="36"/>
      <c r="L124" s="36"/>
      <c r="M124" s="36"/>
      <c r="N124" s="36"/>
      <c r="O124" s="36"/>
      <c r="P124" s="36"/>
      <c r="Q124" s="36"/>
      <c r="R124" s="36"/>
    </row>
    <row r="125" spans="1:18" x14ac:dyDescent="0.25">
      <c r="A125" s="50" t="s">
        <v>556</v>
      </c>
      <c r="B125" s="87">
        <v>118.46</v>
      </c>
      <c r="C125" s="543">
        <f>B125*'Energy Content Assumptions'!C34</f>
        <v>106.61399999999999</v>
      </c>
      <c r="D125" s="36"/>
      <c r="E125" s="36"/>
      <c r="F125" s="36"/>
      <c r="G125" s="36"/>
      <c r="H125" s="36"/>
      <c r="I125" s="36"/>
      <c r="J125" s="36"/>
      <c r="K125" s="36"/>
      <c r="L125" s="36"/>
      <c r="M125" s="36"/>
      <c r="N125" s="36"/>
      <c r="O125" s="36"/>
      <c r="P125" s="36"/>
      <c r="Q125" s="36"/>
      <c r="R125" s="36"/>
    </row>
    <row r="126" spans="1:18" x14ac:dyDescent="0.25">
      <c r="A126" s="50" t="s">
        <v>557</v>
      </c>
      <c r="B126" s="87">
        <v>7669.12</v>
      </c>
      <c r="C126" s="543">
        <f>B126*'Energy Content Assumptions'!C35</f>
        <v>6902.2079999999996</v>
      </c>
      <c r="D126" s="36"/>
      <c r="E126" s="36"/>
      <c r="F126" s="36"/>
      <c r="G126" s="36"/>
      <c r="H126" s="36"/>
      <c r="I126" s="36"/>
      <c r="J126" s="36"/>
      <c r="K126" s="36"/>
      <c r="L126" s="36"/>
      <c r="M126" s="36"/>
      <c r="N126" s="36"/>
      <c r="O126" s="36"/>
      <c r="P126" s="36"/>
      <c r="Q126" s="36"/>
      <c r="R126" s="36"/>
    </row>
    <row r="127" spans="1:18" x14ac:dyDescent="0.25">
      <c r="A127" s="50" t="s">
        <v>558</v>
      </c>
      <c r="B127" s="87">
        <v>10.3</v>
      </c>
      <c r="C127" s="543">
        <f>B127*'Energy Content Assumptions'!C36</f>
        <v>9.2700000000000014</v>
      </c>
      <c r="D127" s="36"/>
      <c r="E127" s="36"/>
      <c r="F127" s="36"/>
      <c r="G127" s="36"/>
      <c r="H127" s="36"/>
      <c r="I127" s="36"/>
      <c r="J127" s="36"/>
      <c r="K127" s="36"/>
      <c r="L127" s="36"/>
      <c r="M127" s="36"/>
      <c r="N127" s="36"/>
      <c r="O127" s="36"/>
      <c r="P127" s="36"/>
      <c r="Q127" s="36"/>
      <c r="R127" s="36"/>
    </row>
    <row r="128" spans="1:18" x14ac:dyDescent="0.25">
      <c r="A128" s="50" t="s">
        <v>559</v>
      </c>
      <c r="B128" s="87">
        <v>17342.22</v>
      </c>
      <c r="C128" s="543">
        <f>B128*'Energy Content Assumptions'!C21</f>
        <v>8671.11</v>
      </c>
      <c r="D128" s="36"/>
      <c r="E128" s="36"/>
      <c r="F128" s="36"/>
      <c r="G128" s="36"/>
      <c r="H128" s="36"/>
      <c r="I128" s="36"/>
      <c r="J128" s="36"/>
      <c r="K128" s="36"/>
      <c r="L128" s="36"/>
      <c r="M128" s="36"/>
      <c r="N128" s="36"/>
      <c r="O128" s="36"/>
      <c r="P128" s="36"/>
      <c r="Q128" s="36"/>
      <c r="R128" s="36"/>
    </row>
    <row r="129" spans="1:18" x14ac:dyDescent="0.25">
      <c r="A129" s="50" t="s">
        <v>560</v>
      </c>
      <c r="B129" s="87">
        <v>5150.5200000000004</v>
      </c>
      <c r="C129" s="543">
        <f>B129*'Energy Content Assumptions'!C22</f>
        <v>1716.8400000000001</v>
      </c>
      <c r="D129" s="36"/>
      <c r="E129" s="36"/>
      <c r="F129" s="36"/>
      <c r="G129" s="36"/>
      <c r="H129" s="36"/>
      <c r="I129" s="36"/>
      <c r="J129" s="36"/>
      <c r="K129" s="36"/>
      <c r="L129" s="36"/>
      <c r="M129" s="36"/>
      <c r="N129" s="36"/>
      <c r="O129" s="36"/>
      <c r="P129" s="36"/>
      <c r="Q129" s="36"/>
      <c r="R129" s="36"/>
    </row>
    <row r="130" spans="1:18" x14ac:dyDescent="0.25">
      <c r="A130" s="50" t="s">
        <v>561</v>
      </c>
      <c r="B130" s="87">
        <v>8717.32</v>
      </c>
      <c r="C130" s="543">
        <f>B130*'Energy Content Assumptions'!C23</f>
        <v>2905.7733333333331</v>
      </c>
      <c r="D130" s="36"/>
      <c r="E130" s="36"/>
      <c r="F130" s="36"/>
      <c r="G130" s="36"/>
      <c r="H130" s="36"/>
      <c r="I130" s="36"/>
      <c r="J130" s="36"/>
      <c r="K130" s="36"/>
      <c r="L130" s="36"/>
      <c r="M130" s="36"/>
      <c r="N130" s="36"/>
      <c r="O130" s="36"/>
      <c r="P130" s="36"/>
      <c r="Q130" s="36"/>
      <c r="R130" s="36"/>
    </row>
    <row r="131" spans="1:18" x14ac:dyDescent="0.25">
      <c r="A131" s="50" t="s">
        <v>562</v>
      </c>
      <c r="B131" s="87">
        <v>823.89</v>
      </c>
      <c r="C131" s="543">
        <f>B131*'Energy Content Assumptions'!C24</f>
        <v>411.94499999999999</v>
      </c>
      <c r="D131" s="36"/>
      <c r="E131" s="36"/>
      <c r="F131" s="36"/>
      <c r="G131" s="36"/>
      <c r="H131" s="36"/>
      <c r="I131" s="36"/>
      <c r="J131" s="36"/>
      <c r="K131" s="36"/>
      <c r="L131" s="36"/>
      <c r="M131" s="36"/>
      <c r="N131" s="36"/>
      <c r="O131" s="36"/>
      <c r="P131" s="36"/>
      <c r="Q131" s="36"/>
      <c r="R131" s="36"/>
    </row>
    <row r="132" spans="1:18" x14ac:dyDescent="0.25">
      <c r="A132" s="50" t="s">
        <v>563</v>
      </c>
      <c r="B132" s="87">
        <v>1030.3800000000001</v>
      </c>
      <c r="C132" s="543">
        <f>B132*'Energy Content Assumptions'!C31</f>
        <v>257.59500000000003</v>
      </c>
      <c r="D132" s="36"/>
      <c r="E132" s="36"/>
      <c r="F132" s="36"/>
      <c r="G132" s="36"/>
      <c r="H132" s="36"/>
      <c r="I132" s="36"/>
      <c r="J132" s="36"/>
      <c r="K132" s="36"/>
      <c r="L132" s="36"/>
      <c r="M132" s="36"/>
      <c r="N132" s="36"/>
      <c r="O132" s="36"/>
      <c r="P132" s="36"/>
      <c r="Q132" s="36"/>
      <c r="R132" s="36"/>
    </row>
    <row r="133" spans="1:18" x14ac:dyDescent="0.25">
      <c r="A133" s="50" t="s">
        <v>564</v>
      </c>
      <c r="B133" s="87">
        <v>47427.75</v>
      </c>
      <c r="C133" s="543">
        <f>B133*'Energy Content Assumptions'!C19</f>
        <v>42684.974999999999</v>
      </c>
      <c r="D133" s="36"/>
      <c r="E133" s="36"/>
      <c r="F133" s="36"/>
      <c r="G133" s="36"/>
      <c r="H133" s="36"/>
      <c r="I133" s="36"/>
      <c r="J133" s="36"/>
      <c r="K133" s="36"/>
      <c r="L133" s="36"/>
      <c r="M133" s="36"/>
      <c r="N133" s="36"/>
      <c r="O133" s="36"/>
      <c r="P133" s="36"/>
      <c r="Q133" s="36"/>
      <c r="R133" s="36"/>
    </row>
    <row r="134" spans="1:18" x14ac:dyDescent="0.25">
      <c r="A134" s="50" t="s">
        <v>565</v>
      </c>
      <c r="B134" s="87">
        <v>4825.3500000000004</v>
      </c>
      <c r="C134" s="543">
        <f>B134*'Energy Content Assumptions'!C32</f>
        <v>3860.2800000000007</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Assumptions'!$M$11</f>
        <v>160142.65</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Assumptions'!$F$11</f>
        <v>91025.02</v>
      </c>
      <c r="C138" s="543">
        <f>B138*'Energy Content Assumptions'!$C$28</f>
        <v>45512.51</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Assumptions'!$H$11</f>
        <v>15.7</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Assumptions'!$I$11</f>
        <v>91009.32</v>
      </c>
      <c r="C140" s="543">
        <f>B140*'Energy Content Assumptions'!$C$28</f>
        <v>45504.66</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Assumptions'!J11,'Biomass Data Assumptions'!F11*'Biomass Data Assumptions'!I41)</f>
        <v>14397.674424000003</v>
      </c>
      <c r="C141" s="543">
        <f>B141*'Energy Content Assumptions'!C26</f>
        <v>4319.3023272000009</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Assumptions'!K11,'Biomass Data Assumptions'!F11*'Biomass Data Assumptions'!I42)</f>
        <v>17701.312740000001</v>
      </c>
      <c r="C142" s="543">
        <f>B142*'Energy Content Assumptions'!C27</f>
        <v>15931.181466000002</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Assumptions'!L11,'Biomass Data Assumptions'!F11*'Biomass Data Assumptions'!I43)</f>
        <v>24508.809875999999</v>
      </c>
      <c r="C143" s="543">
        <f>B143*'Energy Content Assumptions'!$C$28</f>
        <v>12254.404938</v>
      </c>
      <c r="D143" s="547" t="s">
        <v>1064</v>
      </c>
      <c r="E143" s="36"/>
      <c r="F143" s="36"/>
      <c r="G143" s="36"/>
      <c r="H143" s="36"/>
      <c r="I143" s="36"/>
      <c r="J143" s="36"/>
      <c r="K143" s="36"/>
      <c r="L143" s="36"/>
      <c r="M143" s="36"/>
      <c r="N143" s="36"/>
      <c r="O143" s="36"/>
      <c r="P143" s="36"/>
      <c r="Q143" s="36"/>
      <c r="R143" s="36"/>
    </row>
    <row r="144" spans="1:18" x14ac:dyDescent="0.25">
      <c r="A144" s="50" t="s">
        <v>463</v>
      </c>
      <c r="B144" s="87">
        <v>68427.97</v>
      </c>
      <c r="C144" s="543">
        <f>B144*'Energy Content Assumptions'!C29</f>
        <v>54742.376000000004</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21896.950400000002</v>
      </c>
      <c r="D145" s="36" t="s">
        <v>1202</v>
      </c>
      <c r="E145" s="36"/>
      <c r="F145" s="36"/>
      <c r="G145" s="36"/>
      <c r="H145" s="36"/>
      <c r="I145" s="36"/>
      <c r="J145" s="36"/>
      <c r="K145" s="36"/>
      <c r="L145" s="36"/>
      <c r="M145" s="36"/>
      <c r="N145" s="36"/>
      <c r="O145" s="36"/>
      <c r="P145" s="36"/>
      <c r="Q145" s="36"/>
      <c r="R145" s="36"/>
    </row>
    <row r="146" spans="1:18" x14ac:dyDescent="0.25">
      <c r="A146" s="712"/>
      <c r="B146" s="713"/>
      <c r="C146" s="714"/>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Assumptions'!R11/2000</f>
        <v>427.96600000000007</v>
      </c>
      <c r="C148" s="1239">
        <f>B148*'Energy Content Assumptions'!C39</f>
        <v>363.77110000000005</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Assumptions'!S11/2000</f>
        <v>650.21652499999993</v>
      </c>
      <c r="C149" s="1239">
        <f>B149*'Energy Content Assumptions'!C40</f>
        <v>32.510826250000001</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199"/>
  <sheetViews>
    <sheetView topLeftCell="A100" zoomScale="70" zoomScaleNormal="75"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446</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766.0995999999999</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444.88079999999997</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17626</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8445.06</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27282.040399999998</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250.75</v>
      </c>
      <c r="D15" s="294">
        <f>E15*'Conversion Tables'!C14</f>
        <v>3155.8392000000003</v>
      </c>
      <c r="E15" s="294">
        <f>C15*'Prac. Rec. Assumptions'!B11</f>
        <v>200.60000000000002</v>
      </c>
      <c r="F15" s="294">
        <f>$E15</f>
        <v>200.60000000000002</v>
      </c>
      <c r="G15" s="294">
        <f>$E15</f>
        <v>200.60000000000002</v>
      </c>
      <c r="H15" s="294">
        <f>$E15</f>
        <v>200.60000000000002</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1340.6624999999999</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10701.5</v>
      </c>
      <c r="D17" s="294">
        <f>E17*'Conversion Tables'!C16</f>
        <v>143102.59829999998</v>
      </c>
      <c r="E17" s="294">
        <f>C17*'Prac. Rec. Assumptions'!B13</f>
        <v>9096.2749999999996</v>
      </c>
      <c r="F17" s="294">
        <f t="shared" si="2"/>
        <v>9096.2749999999996</v>
      </c>
      <c r="G17" s="294">
        <f t="shared" si="2"/>
        <v>9096.2749999999996</v>
      </c>
      <c r="H17" s="294">
        <f t="shared" si="2"/>
        <v>9096.2749999999996</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4167.24</v>
      </c>
      <c r="D18" s="294">
        <f>E18*'Conversion Tables'!C17</f>
        <v>49169.264759999998</v>
      </c>
      <c r="E18" s="294">
        <f>C18*'Prac. Rec. Assumptions'!B14</f>
        <v>3125.43</v>
      </c>
      <c r="F18" s="294">
        <f t="shared" si="2"/>
        <v>3125.43</v>
      </c>
      <c r="G18" s="294">
        <f t="shared" si="2"/>
        <v>3125.43</v>
      </c>
      <c r="H18" s="294">
        <f t="shared" si="2"/>
        <v>3125.43</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4471.68</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6002.53</v>
      </c>
      <c r="D20" s="294">
        <f>E20*'Conversion Tables'!C19</f>
        <v>46819.733999999997</v>
      </c>
      <c r="E20" s="294">
        <f>C20*'Prac. Rec. Assumptions'!B16</f>
        <v>3001.2649999999999</v>
      </c>
      <c r="F20" s="294">
        <f t="shared" si="2"/>
        <v>3001.2649999999999</v>
      </c>
      <c r="G20" s="294">
        <f t="shared" si="2"/>
        <v>3001.2649999999999</v>
      </c>
      <c r="H20" s="294">
        <f t="shared" si="2"/>
        <v>3001.2649999999999</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7754.3374999999996</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Assumptions'!P12*1000*'Energy Content Assumptions'!C18</f>
        <v>73755.5</v>
      </c>
      <c r="D22" s="294">
        <f>E22*'Conversion Tables'!C21</f>
        <v>575292.9</v>
      </c>
      <c r="E22" s="294">
        <f>C22*'Prac. Rec. Assumptions'!B18</f>
        <v>36877.75</v>
      </c>
      <c r="F22" s="294">
        <f t="shared" si="2"/>
        <v>36877.75</v>
      </c>
      <c r="G22" s="294">
        <f t="shared" si="2"/>
        <v>36877.75</v>
      </c>
      <c r="H22" s="294">
        <f t="shared" si="2"/>
        <v>36877.75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3756.86</v>
      </c>
      <c r="D23" s="294">
        <f>E23*'Conversion Tables'!C22</f>
        <v>61372.064959999996</v>
      </c>
      <c r="E23" s="294">
        <f>C23*'Prac. Rec. Assumptions'!B19</f>
        <v>3756.86</v>
      </c>
      <c r="F23" s="297">
        <f t="shared" si="2"/>
        <v>3756.86</v>
      </c>
      <c r="G23" s="297">
        <f t="shared" si="2"/>
        <v>3756.86</v>
      </c>
      <c r="H23" s="297">
        <f t="shared" si="2"/>
        <v>3756.86</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9257.86</v>
      </c>
      <c r="D25" s="294">
        <f>E25*'Conversion Tables'!C24</f>
        <v>163864.122</v>
      </c>
      <c r="E25" s="294">
        <f>C25*'Prac. Rec. Assumptions'!B21</f>
        <v>9257.86</v>
      </c>
      <c r="F25" s="294">
        <f>($C25*(1+'Biomass Data Assumptions'!G$97))*'Prac. Rec. Assumptions'!$B21</f>
        <v>9523.5511352040812</v>
      </c>
      <c r="G25" s="294">
        <f>($C25*(1+'Biomass Data Assumptions'!H$97))*'Prac. Rec. Assumptions'!$B21</f>
        <v>9812.8592602040808</v>
      </c>
      <c r="H25" s="294">
        <f>($C25*(1+'Biomass Data Assumptions'!I$97))*'Prac. Rec. Assumptions'!$B21</f>
        <v>10090.358890306123</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259.49333333333334</v>
      </c>
      <c r="D26" s="294">
        <f>E26*'Conversion Tables'!C25</f>
        <v>4048.096</v>
      </c>
      <c r="E26" s="294">
        <f>C26*'Prac. Rec. Assumptions'!B22</f>
        <v>259.49333333333334</v>
      </c>
      <c r="F26" s="294">
        <f>($C26*(1+'Biomass Data Assumptions'!G$97))*'Prac. Rec. Assumptions'!$B22</f>
        <v>266.94052721088434</v>
      </c>
      <c r="G26" s="294">
        <f>($C26*(1+'Biomass Data Assumptions'!H$97))*'Prac. Rec. Assumptions'!$B22</f>
        <v>275.04969387755102</v>
      </c>
      <c r="H26" s="294">
        <f>($C26*(1+'Biomass Data Assumptions'!I$97))*'Prac. Rec. Assumptions'!$B22</f>
        <v>282.82787414965986</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5903.3833333333332</v>
      </c>
      <c r="D27" s="294">
        <f>E27*'Conversion Tables'!C26</f>
        <v>92092.78</v>
      </c>
      <c r="E27" s="294">
        <f>C27*'Prac. Rec. Assumptions'!B23</f>
        <v>5903.3833333333332</v>
      </c>
      <c r="F27" s="294">
        <f>($C27*(1+'Biomass Data Assumptions'!G$97))*'Prac. Rec. Assumptions'!$B23</f>
        <v>6072.8044111394547</v>
      </c>
      <c r="G27" s="294">
        <f>($C27*(1+'Biomass Data Assumptions'!H$97))*'Prac. Rec. Assumptions'!$B23</f>
        <v>6257.2851403061222</v>
      </c>
      <c r="H27" s="294">
        <f>($C27*(1+'Biomass Data Assumptions'!I$97))*'Prac. Rec. Assumptions'!$B23</f>
        <v>6434.2360437925172</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865.59</v>
      </c>
      <c r="D28" s="294">
        <f>E28*'Conversion Tables'!C27</f>
        <v>15320.942999999999</v>
      </c>
      <c r="E28" s="294">
        <f>C28*'Prac. Rec. Assumptions'!B24</f>
        <v>865.59</v>
      </c>
      <c r="F28" s="294">
        <f>($C28*(1+'Biomass Data Assumptions'!G$97))*'Prac. Rec. Assumptions'!$B24</f>
        <v>890.43154974489789</v>
      </c>
      <c r="G28" s="294">
        <f>($C28*(1+'Biomass Data Assumptions'!H$97))*'Prac. Rec. Assumptions'!$B24</f>
        <v>917.4812372448979</v>
      </c>
      <c r="H28" s="294">
        <f>($C28*(1+'Biomass Data Assumptions'!I$97))*'Prac. Rec. Assumptions'!$B24</f>
        <v>943.42685586734694</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128487.38666666666</v>
      </c>
      <c r="D29" s="295">
        <f>SUM(D13:D28)</f>
        <v>1154238.34222</v>
      </c>
      <c r="E29" s="295">
        <f t="shared" si="3"/>
        <v>72344.506666666668</v>
      </c>
      <c r="F29" s="295">
        <f>SUM(F13:F28)</f>
        <v>72811.907623299325</v>
      </c>
      <c r="G29" s="295">
        <f>SUM(G13:G28)</f>
        <v>73320.855331632643</v>
      </c>
      <c r="H29" s="295">
        <f>SUM(H13:H28)</f>
        <v>73809.02966411566</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5400.2379984000008</v>
      </c>
      <c r="D32" s="294">
        <f>E32*'Conversion Tables'!C29</f>
        <v>51842.284784640018</v>
      </c>
      <c r="E32" s="294">
        <f>C32*'Prac. Rec. Assumptions'!B26</f>
        <v>3240.1427990400011</v>
      </c>
      <c r="F32" s="294">
        <f>($C32*(1+'Biomass Data Assumptions'!G$97)*(1+'Biomass Data Assumptions'!C$82))*'Prac. Rec. Assumptions'!$B26</f>
        <v>3330.8684630619646</v>
      </c>
      <c r="G32" s="294">
        <f>($C32*(1+'Biomass Data Assumptions'!H$97)*(1+'Biomass Data Assumptions'!D$82))*'Prac. Rec. Assumptions'!$B26</f>
        <v>3429.7238813769582</v>
      </c>
      <c r="H32" s="294">
        <f>($C32*(1+'Biomass Data Assumptions'!I$97)*(1+'Biomass Data Assumptions'!E$82))*'Prac. Rec. Assumptions'!$B26</f>
        <v>3524.3190999252474</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19918.071252000002</v>
      </c>
      <c r="D33" s="294">
        <f>E33*'Conversion Tables'!C30</f>
        <v>231400.18457723522</v>
      </c>
      <c r="E33" s="294">
        <f>C33*'Prac. Rec. Assumptions'!B27</f>
        <v>15934.457001600002</v>
      </c>
      <c r="F33" s="294">
        <f>($C33*(1+'Biomass Data Assumptions'!G$97)*(1+'Biomass Data Assumptions'!C$82))*'Prac. Rec. Assumptions'!$B27</f>
        <v>16380.629989015222</v>
      </c>
      <c r="G33" s="294">
        <f>($C33*(1+'Biomass Data Assumptions'!H$97)*(1+'Biomass Data Assumptions'!D$82))*'Prac. Rec. Assumptions'!$B27</f>
        <v>16866.783689704633</v>
      </c>
      <c r="H33" s="294">
        <f>($C33*(1+'Biomass Data Assumptions'!I$97)*(1+'Biomass Data Assumptions'!E$82))*'Prac. Rec. Assumptions'!$B27</f>
        <v>17331.986471187371</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15321.155636</v>
      </c>
      <c r="D34" s="294">
        <f>E34*'Conversion Tables'!C31</f>
        <v>160195.55194511425</v>
      </c>
      <c r="E34" s="294">
        <f>C34*'Prac. Rec. Assumptions'!B28</f>
        <v>11031.23205792</v>
      </c>
      <c r="F34" s="294">
        <f>($C34*(1+'Biomass Data Assumptions'!G$97)*(1+'Biomass Data Assumptions'!C$82))*'Prac. Rec. Assumptions'!$B28</f>
        <v>11340.112226328532</v>
      </c>
      <c r="G34" s="294">
        <f>($C34*(1+'Biomass Data Assumptions'!H$97)*(1+'Biomass Data Assumptions'!D$82))*'Prac. Rec. Assumptions'!$B28</f>
        <v>11676.670559479324</v>
      </c>
      <c r="H34" s="294">
        <f>($C34*(1+'Biomass Data Assumptions'!I$97)*(1+'Biomass Data Assumptions'!E$82))*'Prac. Rec. Assumptions'!$B28</f>
        <v>11998.724824397837</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6815.2128000000012</v>
      </c>
      <c r="D35" s="294">
        <f>E35*'Conversion Tables'!C32</f>
        <v>77202.730598400012</v>
      </c>
      <c r="E35" s="294">
        <f>C35*'Prac. Rec. Assumptions'!B29</f>
        <v>4361.7361920000012</v>
      </c>
      <c r="F35" s="294">
        <f>($C35*(1+'Biomass Data Assumptions'!G$97)*(1+'Biomass Data Assumptions'!C$83))*'Prac. Rec. Assumptions'!$B29</f>
        <v>4712.2064054138264</v>
      </c>
      <c r="G35" s="294">
        <f>($C35*(1+'Biomass Data Assumptions'!H$97)*(1+'Biomass Data Assumptions'!D$83))*'Prac. Rec. Assumptions'!$B29</f>
        <v>5099.1473118353306</v>
      </c>
      <c r="H35" s="294">
        <f>($C35*(1+'Biomass Data Assumptions'!I$97)*(1+'Biomass Data Assumptions'!E$83))*'Prac. Rec. Assumptions'!$B29</f>
        <v>5506.6212114054588</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5611.11</v>
      </c>
      <c r="D37" s="294">
        <f>E37*'Conversion Tables'!C34</f>
        <v>89777.76</v>
      </c>
      <c r="E37" s="294">
        <f>C37*'Prac. Rec. Assumptions'!B31</f>
        <v>5611.11</v>
      </c>
      <c r="F37" s="294">
        <f>($C37*(1+'Biomass Data Assumptions'!G$97)*(1+'Biomass Data Assumptions'!C$84))*'Prac. Rec. Assumptions'!$B31</f>
        <v>6311.7010516474547</v>
      </c>
      <c r="G37" s="294">
        <f>($C37*(1+'Biomass Data Assumptions'!H$97)*(1+'Biomass Data Assumptions'!D$84))*'Prac. Rec. Assumptions'!$B31</f>
        <v>7111.3556959958823</v>
      </c>
      <c r="H37" s="294">
        <f>($C37*(1+'Biomass Data Assumptions'!I$97)*(1+'Biomass Data Assumptions'!E$84))*'Prac. Rec. Assumptions'!$B31</f>
        <v>7995.9997890572731</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6328.9680000000008</v>
      </c>
      <c r="D38" s="294">
        <f>E38*'Conversion Tables'!C35</f>
        <v>56011.366800000003</v>
      </c>
      <c r="E38" s="294">
        <f>C38*'Prac. Rec. Assumptions'!B32</f>
        <v>3164.4840000000004</v>
      </c>
      <c r="F38" s="294">
        <f>($C38*(1+'Biomass Data Assumptions'!G$97)*(1+'Biomass Data Assumptions'!C$84))*'Prac. Rec. Assumptions'!$B32</f>
        <v>3559.594624008716</v>
      </c>
      <c r="G38" s="294">
        <f>($C38*(1+'Biomass Data Assumptions'!H$97)*(1+'Biomass Data Assumptions'!D$84))*'Prac. Rec. Assumptions'!$B32</f>
        <v>4010.5739004025645</v>
      </c>
      <c r="H38" s="294">
        <f>($C38*(1+'Biomass Data Assumptions'!I$97)*(1+'Biomass Data Assumptions'!E$84))*'Prac. Rec. Assumptions'!$B32</f>
        <v>4509.4844685766493</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15047.388000000001</v>
      </c>
      <c r="D39" s="299">
        <f>E39*'Conversion Tables'!C36</f>
        <v>0</v>
      </c>
      <c r="E39" s="299">
        <f>C39*'Prac. Rec. Assumptions'!B33</f>
        <v>0</v>
      </c>
      <c r="F39" s="294">
        <f>($C39*(1+'Biomass Data Assumptions'!G$97)*(1+'Biomass Data Assumptions'!C$84))*'Prac. Rec. Assumptions'!$B33</f>
        <v>0</v>
      </c>
      <c r="G39" s="294">
        <f>($C39*(1+'Biomass Data Assumptions'!H$97)*(1+'Biomass Data Assumptions'!D$84))*'Prac. Rec. Assumptions'!$B33</f>
        <v>0</v>
      </c>
      <c r="H39" s="294">
        <f>($C39*(1+'Biomass Data Assumptions'!I$97)*(1+'Biomass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2523.7799999999997</v>
      </c>
      <c r="D40" s="299">
        <f>E40*'Conversion Tables'!C37</f>
        <v>0</v>
      </c>
      <c r="E40" s="299">
        <f>C40*'Prac. Rec. Assumptions'!B34</f>
        <v>0</v>
      </c>
      <c r="F40" s="294">
        <f>($C40*(1+'Biomass Data Assumptions'!G$97)*(1+'Biomass Data Assumptions'!C$84))*'Prac. Rec. Assumptions'!$B34</f>
        <v>0</v>
      </c>
      <c r="G40" s="294">
        <f>($C40*(1+'Biomass Data Assumptions'!H$97)*(1+'Biomass Data Assumptions'!D$84))*'Prac. Rec. Assumptions'!$B34</f>
        <v>0</v>
      </c>
      <c r="H40" s="294">
        <f>($C40*(1+'Biomass Data Assumptions'!I$97)*(1+'Biomass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4099.05</v>
      </c>
      <c r="D41" s="299">
        <f>E41*'Conversion Tables'!C38</f>
        <v>0</v>
      </c>
      <c r="E41" s="299">
        <f>C41*'Prac. Rec. Assumptions'!B35</f>
        <v>0</v>
      </c>
      <c r="F41" s="294">
        <f>($C41*(1+'Biomass Data Assumptions'!G$97)*(1+'Biomass Data Assumptions'!C$84))*'Prac. Rec. Assumptions'!$B35</f>
        <v>0</v>
      </c>
      <c r="G41" s="294">
        <f>($C41*(1+'Biomass Data Assumptions'!H$97)*(1+'Biomass Data Assumptions'!D$84))*'Prac. Rec. Assumptions'!$B35</f>
        <v>0</v>
      </c>
      <c r="H41" s="294">
        <f>($C41*(1+'Biomass Data Assumptions'!I$97)*(1+'Biomass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1161.8820000000001</v>
      </c>
      <c r="D42" s="299">
        <f>E42*'Conversion Tables'!C39</f>
        <v>16872.850404000001</v>
      </c>
      <c r="E42" s="299">
        <f>C42*'Prac. Rec. Assumptions'!B36</f>
        <v>1161.8820000000001</v>
      </c>
      <c r="F42" s="294">
        <f>($C42*(1+'Biomass Data Assumptions'!G$97)*(1+'Biomass Data Assumptions'!C$84))*'Prac. Rec. Assumptions'!$B36</f>
        <v>1306.9520721016427</v>
      </c>
      <c r="G42" s="294">
        <f>($C42*(1+'Biomass Data Assumptions'!H$97)*(1+'Biomass Data Assumptions'!D$84))*'Prac. Rec. Assumptions'!$B36</f>
        <v>1472.5350561252742</v>
      </c>
      <c r="H42" s="294">
        <f>($C42*(1+'Biomass Data Assumptions'!I$97)*(1+'Biomass Data Assumptions'!E$84))*'Prac. Rec. Assumptions'!$B36</f>
        <v>1655.7166455317119</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82226.855686400013</v>
      </c>
      <c r="D43" s="295">
        <f t="shared" si="4"/>
        <v>683302.72910938947</v>
      </c>
      <c r="E43" s="295">
        <f t="shared" si="4"/>
        <v>44505.044050560013</v>
      </c>
      <c r="F43" s="295">
        <f t="shared" si="4"/>
        <v>46942.064831577358</v>
      </c>
      <c r="G43" s="295">
        <f t="shared" si="4"/>
        <v>49666.790094919961</v>
      </c>
      <c r="H43" s="295">
        <f t="shared" si="4"/>
        <v>52522.852510081546</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8219.52</v>
      </c>
      <c r="D46" s="294">
        <f>E46*'Conversion Tables'!C41</f>
        <v>0</v>
      </c>
      <c r="E46" s="294">
        <f>C46*'Prac. Rec. Assumptions'!B38</f>
        <v>8219.52</v>
      </c>
      <c r="F46" s="294">
        <f>$E46</f>
        <v>8219.52</v>
      </c>
      <c r="G46" s="294">
        <f>$E46</f>
        <v>8219.52</v>
      </c>
      <c r="H46" s="294">
        <f>$E46</f>
        <v>8219.52</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586.79852000000005</v>
      </c>
      <c r="D47" s="294"/>
      <c r="E47" s="294">
        <f>C47*'Prac. Rec. Assumptions'!B39</f>
        <v>293.39926000000003</v>
      </c>
      <c r="F47" s="294">
        <f>($C47*(1+'Biomass Data Assumptions'!G$97))*'Prac. Rec. Assumptions'!$B39</f>
        <v>301.81951937500003</v>
      </c>
      <c r="G47" s="294">
        <f>($C47*(1+'Biomass Data Assumptions'!H$97))*'Prac. Rec. Assumptions'!$B39</f>
        <v>310.98824624999997</v>
      </c>
      <c r="H47" s="294">
        <f>($C47*(1+'Biomass Data Assumptions'!I$97))*'Prac. Rec. Assumptions'!$B39</f>
        <v>319.78273937500001</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52.443156500000001</v>
      </c>
      <c r="D48" s="294"/>
      <c r="E48" s="294">
        <f>C48*'Prac. Rec. Assumptions'!B40</f>
        <v>52.443156500000001</v>
      </c>
      <c r="F48" s="294">
        <f>($C48*(1+'Biomass Data Assumptions'!G$97))*'Prac. Rec. Assumptions'!$B40</f>
        <v>53.948221578124993</v>
      </c>
      <c r="G48" s="294">
        <f>($C48*(1+'Biomass Data Assumptions'!H$97))*'Prac. Rec. Assumptions'!$B40</f>
        <v>55.587070218749993</v>
      </c>
      <c r="H48" s="294">
        <f>($C48*(1+'Biomass Data Assumptions'!I$97))*'Prac. Rec. Assumptions'!$B40</f>
        <v>57.159027078125</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8858.7616765000002</v>
      </c>
      <c r="D49" s="295">
        <f>SUM(D45:D48)</f>
        <v>0</v>
      </c>
      <c r="E49" s="295">
        <f t="shared" si="6"/>
        <v>8565.3624165000001</v>
      </c>
      <c r="F49" s="295">
        <f>SUM(F45:F48)</f>
        <v>8575.2877409531247</v>
      </c>
      <c r="G49" s="295">
        <f>SUM(G45:G48)</f>
        <v>8586.0953164687489</v>
      </c>
      <c r="H49" s="295">
        <f>SUM(H45:H48)</f>
        <v>8596.4617664531252</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657.11680000000001</v>
      </c>
      <c r="D52" s="299">
        <f>E52*'Conversion Tables'!C45</f>
        <v>1940.3344870399999</v>
      </c>
      <c r="E52" s="299">
        <f>C52*'Prac. Rec. Assumptions'!B42</f>
        <v>131.42336</v>
      </c>
      <c r="F52" s="294">
        <f t="shared" ref="F52:H59" si="7">$E52</f>
        <v>131.42336</v>
      </c>
      <c r="G52" s="294">
        <f t="shared" si="7"/>
        <v>131.42336</v>
      </c>
      <c r="H52" s="294">
        <f t="shared" si="7"/>
        <v>131.42336</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1450.588475</v>
      </c>
      <c r="D53" s="299">
        <f>E53*'Conversion Tables'!C46</f>
        <v>12849.892946939999</v>
      </c>
      <c r="E53" s="299">
        <f>C53*'Prac. Rec. Assumptions'!B43</f>
        <v>870.35308499999996</v>
      </c>
      <c r="F53" s="294">
        <f t="shared" si="7"/>
        <v>870.35308499999996</v>
      </c>
      <c r="G53" s="294">
        <f t="shared" si="7"/>
        <v>870.35308499999996</v>
      </c>
      <c r="H53" s="294">
        <f t="shared" si="7"/>
        <v>870.35308499999996</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3032.931</v>
      </c>
      <c r="D54" s="299">
        <f>E54*'Conversion Tables'!C47</f>
        <v>26866.915970399998</v>
      </c>
      <c r="E54" s="299">
        <f>C54*'Prac. Rec. Assumptions'!B44</f>
        <v>1819.7585999999999</v>
      </c>
      <c r="F54" s="294">
        <f t="shared" si="7"/>
        <v>1819.7585999999999</v>
      </c>
      <c r="G54" s="294">
        <f t="shared" si="7"/>
        <v>1819.7585999999999</v>
      </c>
      <c r="H54" s="294">
        <f t="shared" si="7"/>
        <v>1819.7585999999999</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22.173750000000002</v>
      </c>
      <c r="D55" s="299">
        <f>E55*'Conversion Tables'!C48</f>
        <v>65.474648999999999</v>
      </c>
      <c r="E55" s="299">
        <f>C55*'Prac. Rec. Assumptions'!B45</f>
        <v>4.4347500000000002</v>
      </c>
      <c r="F55" s="294">
        <f t="shared" si="7"/>
        <v>4.4347500000000002</v>
      </c>
      <c r="G55" s="294">
        <f t="shared" si="7"/>
        <v>4.4347500000000002</v>
      </c>
      <c r="H55" s="294">
        <f t="shared" si="7"/>
        <v>4.4347500000000002</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100.24724999999999</v>
      </c>
      <c r="D56" s="299">
        <f>E56*'Conversion Tables'!C49</f>
        <v>296.01007979999997</v>
      </c>
      <c r="E56" s="299">
        <f>C56*'Prac. Rec. Assumptions'!B46</f>
        <v>20.04945</v>
      </c>
      <c r="F56" s="294">
        <f t="shared" si="7"/>
        <v>20.04945</v>
      </c>
      <c r="G56" s="294">
        <f t="shared" si="7"/>
        <v>20.04945</v>
      </c>
      <c r="H56" s="294">
        <f t="shared" si="7"/>
        <v>20.04945</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233.30799999999999</v>
      </c>
      <c r="D57" s="299">
        <f>E57*'Conversion Tables'!C50</f>
        <v>1722.2796559999999</v>
      </c>
      <c r="E57" s="299">
        <f>C57*'Prac. Rec. Assumptions'!B47</f>
        <v>116.654</v>
      </c>
      <c r="F57" s="294">
        <f t="shared" si="7"/>
        <v>116.654</v>
      </c>
      <c r="G57" s="294">
        <f t="shared" si="7"/>
        <v>116.654</v>
      </c>
      <c r="H57" s="294">
        <f t="shared" si="7"/>
        <v>116.654</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377.22750000000002</v>
      </c>
      <c r="D58" s="299">
        <f>E58*'Conversion Tables'!C51</f>
        <v>4526.7300000000005</v>
      </c>
      <c r="E58" s="299">
        <f>C58*'Prac. Rec. Assumptions'!B48</f>
        <v>377.22750000000002</v>
      </c>
      <c r="F58" s="294">
        <f t="shared" si="7"/>
        <v>377.22750000000002</v>
      </c>
      <c r="G58" s="294">
        <f t="shared" si="7"/>
        <v>377.22750000000002</v>
      </c>
      <c r="H58" s="294">
        <f t="shared" si="7"/>
        <v>377.22750000000002</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1.83184375</v>
      </c>
      <c r="D59" s="299">
        <f>E59*'Conversion Tables'!C52</f>
        <v>27.045341125</v>
      </c>
      <c r="E59" s="299">
        <f>C59*'Prac. Rec. Assumptions'!B49</f>
        <v>1.83184375</v>
      </c>
      <c r="F59" s="294">
        <f t="shared" si="7"/>
        <v>1.83184375</v>
      </c>
      <c r="G59" s="294">
        <f t="shared" si="7"/>
        <v>1.83184375</v>
      </c>
      <c r="H59" s="294">
        <f t="shared" si="7"/>
        <v>1.83184375</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Assumptions'!AE12</f>
        <v>1018.0935159999997</v>
      </c>
      <c r="D60" s="299">
        <f>E60*'Conversion Tables'!C53</f>
        <v>12217.122191999995</v>
      </c>
      <c r="E60" s="299">
        <f>C60*'Prac. Rec. Assumptions'!B50</f>
        <v>1018.0935159999997</v>
      </c>
      <c r="F60" s="294">
        <f>($C60*(1+'Biomass Data Assumptions'!G$97*(4/5)))*'Prac. Rec. Assumptions'!$B50</f>
        <v>1041.468112030612</v>
      </c>
      <c r="G60" s="294">
        <f>($C60*(1+'Biomass Data Assumptions'!H$97*(9/10)))*'Prac. Rec. Assumptions'!$B50</f>
        <v>1073.0238166719384</v>
      </c>
      <c r="H60" s="294">
        <f>($C60*(1+'Biomass Data Assumptions'!I$97*(14/15)))*'Prac. Rec. Assumptions'!$B50</f>
        <v>1103.5406503785709</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6893.5181347500011</v>
      </c>
      <c r="D61" s="295">
        <f>SUM(D52:D60)</f>
        <v>60511.805322304994</v>
      </c>
      <c r="E61" s="295">
        <f t="shared" ref="E61:P61" si="8">SUM(E52:E60)</f>
        <v>4359.8261047499991</v>
      </c>
      <c r="F61" s="295">
        <f>SUM(F52:F60)</f>
        <v>4383.2007007806114</v>
      </c>
      <c r="G61" s="295">
        <f>SUM(G52:G60)</f>
        <v>4414.7564054219383</v>
      </c>
      <c r="H61" s="295">
        <f>SUM(H52:H60)</f>
        <v>4445.2732391285708</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Assumptions'!AB12</f>
        <v>40.565632799999996</v>
      </c>
      <c r="D63" s="300">
        <f>E63*'Conversion Tables'!C55</f>
        <v>25110.126703199996</v>
      </c>
      <c r="E63" s="299">
        <f>C63*'Prac. Rec. Assumptions'!B51</f>
        <v>40.565632799999996</v>
      </c>
      <c r="F63" s="294">
        <f>($C63*(1+'Biomass Data Assumptions'!G$97*(4/5)))*'Prac. Rec. Assumptions'!$B51</f>
        <v>41.496986614285717</v>
      </c>
      <c r="G63" s="294">
        <f>($C63*(1+'Biomass Data Assumptions'!H$97*(9/10)))*'Prac. Rec. Assumptions'!$B51</f>
        <v>42.75431426357143</v>
      </c>
      <c r="H63" s="294">
        <f>($C63*(1+'Biomass Data Assumptions'!I$97*(14/15)))*'Prac. Rec. Assumptions'!$B51</f>
        <v>43.970248409999989</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Assumptions'!X12</f>
        <v>190.20376209999995</v>
      </c>
      <c r="D64" s="300">
        <f>E64*'Conversion Tables'!C56</f>
        <v>96243.103622599971</v>
      </c>
      <c r="E64" s="299">
        <f>C64*'Prac. Rec. Assumptions'!B52</f>
        <v>190.20376209999995</v>
      </c>
      <c r="F64" s="545">
        <f>($C64*(1+'Biomass Data Assumptions'!G$97*(3/5))*(1+('Biomass Data Assumptions'!C$82-((1+'Biomass Data Assumptions'!$B$82)^2 - 1))))*'Prac. Rec. Assumptions'!$B52</f>
        <v>193.40014419253686</v>
      </c>
      <c r="G64" s="545">
        <f>($C64*(1+'Biomass Data Assumptions'!H$97*(4/5))*(1+('Biomass Data Assumptions'!D$82-((1+'Biomass Data Assumptions'!$B$82)^2 - 1))))*'Prac. Rec. Assumptions'!$B52</f>
        <v>199.10934119403092</v>
      </c>
      <c r="H64" s="545">
        <f>($C64*(1+'Biomass Data Assumptions'!I$97*(13/15))*(1+('Biomass Data Assumptions'!E$82-((1+'Biomass Data Assumptions'!$B$82)^2 - 1))))*'Prac. Rec. Assumptions'!$B52</f>
        <v>204.66539101916132</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230.76939489999995</v>
      </c>
      <c r="D65" s="295">
        <f>SUM(D63:D64)</f>
        <v>121353.23032579996</v>
      </c>
      <c r="E65" s="295">
        <f t="shared" ref="E65:P65" si="9">SUM(E63:E64)</f>
        <v>230.76939489999995</v>
      </c>
      <c r="F65" s="295">
        <f>SUM(F63:F64)</f>
        <v>234.89713080682259</v>
      </c>
      <c r="G65" s="295">
        <f>SUM(G63:G64)</f>
        <v>241.86365545760236</v>
      </c>
      <c r="H65" s="295">
        <f>SUM(H63:H64)</f>
        <v>248.6356394291613</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15768.03974753267</v>
      </c>
      <c r="D67" s="295">
        <f t="shared" ref="D67" si="10">D61+D65</f>
        <v>181865.03564810497</v>
      </c>
      <c r="E67" s="295">
        <f>E61+(E63*1000000/29487.1582406855)+(E64*1000000/25364.5039539246)</f>
        <v>13234.34771753267</v>
      </c>
      <c r="F67" s="295">
        <f t="shared" ref="F67:H67" si="11">F61+(F63*1000000/29487.1582406855)+(F64*1000000/25364.5039539246)</f>
        <v>13415.325301180263</v>
      </c>
      <c r="G67" s="295">
        <f t="shared" si="11"/>
        <v>13714.606933060793</v>
      </c>
      <c r="H67" s="295">
        <f t="shared" si="11"/>
        <v>14005.408059147454</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262623.08417709934</v>
      </c>
      <c r="D68" s="132"/>
      <c r="E68" s="132">
        <f>E11+E29+E43+E49+E67</f>
        <v>138649.26085125934</v>
      </c>
      <c r="F68" s="132">
        <f>F11+F29+F43+F49+F67</f>
        <v>141744.58549701006</v>
      </c>
      <c r="G68" s="132">
        <f>G11+G29+G43+G49+G67</f>
        <v>145288.34767608214</v>
      </c>
      <c r="H68" s="132">
        <f>H11+H29+H43+H49+H67</f>
        <v>148933.75199979779</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419</v>
      </c>
      <c r="C74" s="40">
        <f>'Biomass Data Assumptions'!B38*B74</f>
        <v>27360.699999999997</v>
      </c>
      <c r="D74" s="40">
        <f>(C74*'Biomass Data Assumptions'!C38)/2000</f>
        <v>766.0995999999999</v>
      </c>
      <c r="E74" s="41"/>
      <c r="F74" s="41"/>
      <c r="G74" s="41"/>
      <c r="H74" s="36"/>
      <c r="I74" s="36"/>
      <c r="J74" s="36"/>
      <c r="K74" s="36"/>
      <c r="L74" s="36"/>
      <c r="M74" s="36"/>
      <c r="N74" s="36"/>
      <c r="O74" s="36"/>
      <c r="P74" s="36"/>
      <c r="Q74" s="36"/>
      <c r="R74" s="36"/>
    </row>
    <row r="75" spans="1:19" x14ac:dyDescent="0.25">
      <c r="A75" s="39" t="s">
        <v>520</v>
      </c>
      <c r="B75" s="21">
        <v>582</v>
      </c>
      <c r="C75" s="40">
        <f>'Biomass Data Assumptions'!B39*B75</f>
        <v>15888.6</v>
      </c>
      <c r="D75" s="40">
        <f>(C75*'Biomass Data Assumptions'!C39)/2000</f>
        <v>444.88079999999997</v>
      </c>
      <c r="E75" s="41"/>
      <c r="F75" s="41"/>
      <c r="G75" s="41"/>
      <c r="H75" s="36"/>
      <c r="I75" s="36"/>
      <c r="J75" s="36"/>
      <c r="K75" s="36"/>
      <c r="L75" s="36"/>
      <c r="M75" s="36"/>
      <c r="N75" s="36"/>
      <c r="O75" s="36"/>
      <c r="P75" s="36"/>
      <c r="Q75" s="36"/>
      <c r="R75" s="36"/>
    </row>
    <row r="76" spans="1:19" x14ac:dyDescent="0.25">
      <c r="A76" s="39" t="s">
        <v>521</v>
      </c>
      <c r="B76" s="21">
        <v>5036</v>
      </c>
      <c r="C76" s="40">
        <f>'Biomass Data Assumptions'!B40*B76</f>
        <v>629500</v>
      </c>
      <c r="D76" s="40">
        <f>(C76*'Biomass Data Assumptions'!C40)/2000</f>
        <v>17626</v>
      </c>
      <c r="E76" s="41"/>
      <c r="F76" s="41"/>
      <c r="G76" s="41"/>
      <c r="H76" s="36"/>
      <c r="I76" s="36"/>
      <c r="J76" s="36"/>
      <c r="K76" s="36"/>
      <c r="L76" s="36"/>
      <c r="M76" s="36"/>
      <c r="N76" s="36"/>
      <c r="O76" s="36"/>
      <c r="P76" s="36"/>
      <c r="Q76" s="36"/>
      <c r="R76" s="36"/>
    </row>
    <row r="77" spans="1:19" x14ac:dyDescent="0.25">
      <c r="A77" s="39" t="s">
        <v>525</v>
      </c>
      <c r="B77" s="21">
        <v>8562</v>
      </c>
      <c r="C77" s="40">
        <f>'Biomass Data Assumptions'!B41*B77</f>
        <v>273984</v>
      </c>
      <c r="D77" s="40">
        <f>(C77*'Biomass Data Assumptions'!C41)/2000</f>
        <v>8219.52</v>
      </c>
      <c r="E77" s="41"/>
      <c r="F77" s="41"/>
      <c r="G77" s="41"/>
      <c r="H77" s="36"/>
      <c r="I77" s="36"/>
      <c r="J77" s="36"/>
      <c r="K77" s="36"/>
      <c r="L77" s="36"/>
      <c r="M77" s="36"/>
      <c r="N77" s="36"/>
      <c r="O77" s="36"/>
      <c r="P77" s="36"/>
      <c r="Q77" s="36"/>
      <c r="R77" s="36"/>
    </row>
    <row r="78" spans="1:19" x14ac:dyDescent="0.25">
      <c r="A78" s="39" t="s">
        <v>522</v>
      </c>
      <c r="B78" s="21">
        <f>5148+65</f>
        <v>5213</v>
      </c>
      <c r="C78" s="40">
        <f>'Biomass Data Assumptions'!B42*B78</f>
        <v>281502</v>
      </c>
      <c r="D78" s="40">
        <f>(C78*'Biomass Data Assumptions'!C42)/2000</f>
        <v>8445.06</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295</v>
      </c>
      <c r="C81" s="40">
        <f>'Biomass Data Assumptions'!B49*B81</f>
        <v>295</v>
      </c>
      <c r="D81" s="40">
        <f>C81*'Energy Content Assumptions'!C11</f>
        <v>250.75</v>
      </c>
      <c r="E81" s="41"/>
      <c r="F81" s="41"/>
      <c r="G81" s="41"/>
      <c r="H81" s="36"/>
      <c r="I81" s="36"/>
      <c r="J81" s="36"/>
      <c r="K81" s="36"/>
      <c r="L81" s="36"/>
      <c r="M81" s="36"/>
      <c r="N81" s="36"/>
      <c r="O81" s="36"/>
      <c r="P81" s="36"/>
      <c r="Q81" s="36"/>
      <c r="R81" s="36"/>
    </row>
    <row r="82" spans="1:18" x14ac:dyDescent="0.25">
      <c r="A82" s="39" t="s">
        <v>520</v>
      </c>
      <c r="B82" s="21">
        <f>582+119</f>
        <v>701</v>
      </c>
      <c r="C82" s="40">
        <f>'Biomass Data Assumptions'!B50*B82</f>
        <v>1577.25</v>
      </c>
      <c r="D82" s="40">
        <f>C82*'Energy Content Assumptions'!C12</f>
        <v>1340.6624999999999</v>
      </c>
      <c r="E82" s="41"/>
      <c r="F82" s="41"/>
      <c r="G82" s="41"/>
      <c r="H82" s="36"/>
      <c r="I82" s="36"/>
      <c r="J82" s="36"/>
      <c r="K82" s="36"/>
      <c r="L82" s="36"/>
      <c r="M82" s="36"/>
      <c r="N82" s="36"/>
      <c r="O82" s="36"/>
      <c r="P82" s="36"/>
      <c r="Q82" s="36"/>
      <c r="R82" s="36"/>
    </row>
    <row r="83" spans="1:18" x14ac:dyDescent="0.25">
      <c r="A83" s="39" t="s">
        <v>521</v>
      </c>
      <c r="B83" s="21">
        <v>5036</v>
      </c>
      <c r="C83" s="40">
        <f>'Biomass Data Assumptions'!B51*B83</f>
        <v>12590</v>
      </c>
      <c r="D83" s="40">
        <f>C83*'Energy Content Assumptions'!C13</f>
        <v>10701.5</v>
      </c>
      <c r="E83" s="41"/>
      <c r="F83" s="41"/>
      <c r="G83" s="41"/>
      <c r="H83" s="36"/>
      <c r="I83" s="36"/>
      <c r="J83" s="36"/>
      <c r="K83" s="36"/>
      <c r="L83" s="36"/>
      <c r="M83" s="36"/>
      <c r="N83" s="36"/>
      <c r="O83" s="36"/>
      <c r="P83" s="36"/>
      <c r="Q83" s="36"/>
      <c r="R83" s="36"/>
    </row>
    <row r="84" spans="1:18" x14ac:dyDescent="0.25">
      <c r="A84" s="39" t="s">
        <v>528</v>
      </c>
      <c r="B84" s="21">
        <v>726</v>
      </c>
      <c r="C84" s="40">
        <f>'Biomass Data Assumptions'!B52*B84</f>
        <v>11906.4</v>
      </c>
      <c r="D84" s="40">
        <f>C84*'Energy Content Assumptions'!C14</f>
        <v>4167.24</v>
      </c>
      <c r="E84" s="41"/>
      <c r="F84" s="41"/>
      <c r="G84" s="41"/>
      <c r="H84" s="36"/>
      <c r="I84" s="36"/>
      <c r="J84" s="36"/>
      <c r="K84" s="36"/>
      <c r="L84" s="36"/>
      <c r="M84" s="36"/>
      <c r="N84" s="36"/>
      <c r="O84" s="36"/>
      <c r="P84" s="36"/>
      <c r="Q84" s="36"/>
      <c r="R84" s="36"/>
    </row>
    <row r="85" spans="1:18" x14ac:dyDescent="0.25">
      <c r="A85" s="39" t="s">
        <v>529</v>
      </c>
      <c r="B85" s="21">
        <v>1644</v>
      </c>
      <c r="C85" s="40">
        <f>'Biomass Data Assumptions'!B53*B85</f>
        <v>5260.8</v>
      </c>
      <c r="D85" s="40">
        <f>C85*'Energy Content Assumptions'!C15</f>
        <v>4471.68</v>
      </c>
      <c r="E85" s="41"/>
      <c r="F85" s="41"/>
      <c r="G85" s="41"/>
      <c r="H85" s="36"/>
      <c r="I85" s="36"/>
      <c r="J85" s="36"/>
      <c r="K85" s="36"/>
      <c r="L85" s="36"/>
      <c r="M85" s="36"/>
      <c r="N85" s="36"/>
      <c r="O85" s="36"/>
      <c r="P85" s="36"/>
      <c r="Q85" s="36"/>
      <c r="R85" s="36"/>
    </row>
    <row r="86" spans="1:18" x14ac:dyDescent="0.25">
      <c r="A86" s="39" t="s">
        <v>530</v>
      </c>
      <c r="B86" s="21">
        <v>4154</v>
      </c>
      <c r="C86" s="40">
        <f>'Biomass Data Assumptions'!B54*B86</f>
        <v>7061.8</v>
      </c>
      <c r="D86" s="40">
        <f>C86*'Energy Content Assumptions'!C16</f>
        <v>6002.53</v>
      </c>
      <c r="E86" s="41"/>
      <c r="F86" s="41"/>
      <c r="G86" s="41"/>
      <c r="H86" s="36"/>
      <c r="I86" s="36"/>
      <c r="J86" s="36"/>
      <c r="K86" s="36"/>
      <c r="L86" s="36"/>
      <c r="M86" s="36"/>
      <c r="N86" s="36"/>
      <c r="O86" s="36"/>
      <c r="P86" s="36"/>
      <c r="Q86" s="36"/>
      <c r="R86" s="36"/>
    </row>
    <row r="87" spans="1:18" x14ac:dyDescent="0.25">
      <c r="A87" s="39" t="s">
        <v>522</v>
      </c>
      <c r="B87" s="21">
        <v>5213</v>
      </c>
      <c r="C87" s="40">
        <f>'Biomass Data Assumptions'!B55*B87</f>
        <v>9122.75</v>
      </c>
      <c r="D87" s="40">
        <f>C87*'Energy Content Assumptions'!C17</f>
        <v>7754.3374999999996</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ht="14.25" customHeight="1" x14ac:dyDescent="0.25">
      <c r="A93" s="42"/>
      <c r="B93" s="38"/>
      <c r="C93" s="38"/>
      <c r="D93" s="38"/>
      <c r="E93" s="38"/>
      <c r="F93" s="36"/>
      <c r="G93" s="36"/>
      <c r="H93" s="36"/>
      <c r="I93" s="36"/>
      <c r="J93" s="38"/>
      <c r="K93" s="38"/>
      <c r="L93" s="38"/>
      <c r="M93" s="38"/>
      <c r="N93" s="36"/>
      <c r="O93" s="36"/>
      <c r="P93" s="36"/>
      <c r="Q93" s="36"/>
      <c r="R93" s="36"/>
    </row>
    <row r="94" spans="1:18" hidden="1" x14ac:dyDescent="0.25">
      <c r="A94" s="459"/>
      <c r="B94" s="457"/>
      <c r="C94" s="458"/>
      <c r="D94" s="458"/>
      <c r="E94" s="463"/>
      <c r="F94" s="457"/>
      <c r="G94" s="457"/>
      <c r="H94" s="36"/>
      <c r="I94" s="36"/>
      <c r="J94" s="44"/>
      <c r="K94" s="44"/>
      <c r="L94" s="44"/>
      <c r="M94" s="44"/>
      <c r="N94" s="36"/>
      <c r="O94" s="36"/>
      <c r="P94" s="36"/>
      <c r="Q94" s="36"/>
      <c r="R94" s="36"/>
    </row>
    <row r="95" spans="1:18" hidden="1" x14ac:dyDescent="0.25">
      <c r="A95" s="456"/>
      <c r="B95" s="458"/>
      <c r="C95" s="458"/>
      <c r="D95" s="458"/>
      <c r="E95" s="458"/>
      <c r="F95" s="458"/>
      <c r="G95" s="458"/>
      <c r="H95" s="36"/>
      <c r="I95" s="36"/>
      <c r="J95" s="41"/>
      <c r="K95" s="41"/>
      <c r="L95" s="41"/>
      <c r="M95" s="41"/>
      <c r="N95" s="36"/>
      <c r="O95" s="36"/>
      <c r="P95" s="36"/>
      <c r="Q95" s="36"/>
      <c r="R95" s="36"/>
    </row>
    <row r="96" spans="1:18" hidden="1" x14ac:dyDescent="0.25">
      <c r="A96" s="456"/>
      <c r="B96" s="458"/>
      <c r="C96" s="458"/>
      <c r="D96" s="458"/>
      <c r="E96" s="458"/>
      <c r="F96" s="458"/>
      <c r="G96" s="458"/>
      <c r="H96" s="36"/>
      <c r="I96" s="36"/>
      <c r="J96" s="41"/>
      <c r="K96" s="41"/>
      <c r="L96" s="41"/>
      <c r="M96" s="41"/>
      <c r="N96" s="36"/>
      <c r="O96" s="36"/>
      <c r="P96" s="36"/>
      <c r="Q96" s="36"/>
      <c r="R96" s="36"/>
    </row>
    <row r="97" spans="1:18" x14ac:dyDescent="0.25">
      <c r="A97" s="46" t="s">
        <v>538</v>
      </c>
      <c r="B97" s="85">
        <v>580</v>
      </c>
      <c r="C97" s="41">
        <f>ROUND('Biomass Data Assumptions'!$B$60/1000*B97,0)</f>
        <v>580</v>
      </c>
      <c r="D97" s="41">
        <f>'Biomass Data Assumptions'!$C$60*C97</f>
        <v>19476400</v>
      </c>
      <c r="E97" s="41">
        <f>('Biomass Data Assumptions'!$D$60*'Energy Content Assumptions'!$C$44*D97)/2000</f>
        <v>233.71680000000001</v>
      </c>
      <c r="F97" s="41">
        <f>('Biomass Data Assumptions'!$E$60*B97*365)/2000</f>
        <v>423.4</v>
      </c>
      <c r="G97" s="41">
        <f>F97+E97</f>
        <v>657.11680000000001</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244</v>
      </c>
      <c r="C100" s="41">
        <f>ROUND('Biomass Data Assumptions'!B62/1000*B100,0)</f>
        <v>85</v>
      </c>
      <c r="D100" s="41">
        <f>'Biomass Data Assumptions'!C62*C100</f>
        <v>2482000</v>
      </c>
      <c r="E100" s="41">
        <f>('Biomass Data Assumptions'!D62*'Energy Content Assumptions'!C46*D100)/2000</f>
        <v>111.69</v>
      </c>
      <c r="F100" s="41">
        <f>('Biomass Data Assumptions'!E62*B100*365)/2000</f>
        <v>222.65</v>
      </c>
      <c r="G100" s="41">
        <f>F100+E100</f>
        <v>334.34000000000003</v>
      </c>
      <c r="H100" s="36"/>
      <c r="I100" s="36"/>
      <c r="J100" s="41"/>
      <c r="K100" s="41"/>
      <c r="L100" s="41"/>
      <c r="M100" s="41"/>
      <c r="N100" s="36"/>
      <c r="O100" s="36"/>
      <c r="P100" s="36"/>
      <c r="Q100" s="36"/>
      <c r="R100" s="36"/>
    </row>
    <row r="101" spans="1:18" ht="0.75" customHeight="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255</v>
      </c>
      <c r="C102" s="41">
        <f>ROUND('Biomass Data Assumptions'!B64/1000*B102,0)</f>
        <v>357</v>
      </c>
      <c r="D102" s="41">
        <f>'Biomass Data Assumptions'!C64*C102</f>
        <v>14463855</v>
      </c>
      <c r="E102" s="41">
        <f>('Biomass Data Assumptions'!D64*'Energy Content Assumptions'!C48*D102)/2000</f>
        <v>650.87347499999998</v>
      </c>
      <c r="F102" s="41">
        <f>'Biomass Data Assumptions'!E64*B102*365/2000</f>
        <v>465.375</v>
      </c>
      <c r="G102" s="41">
        <f>F102+E102</f>
        <v>1116.2484749999999</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 t="s">
        <v>544</v>
      </c>
      <c r="B104" s="85">
        <f t="shared" ref="B104:G104" si="14">SUM(B100:B103)</f>
        <v>499</v>
      </c>
      <c r="C104" s="41">
        <f t="shared" si="14"/>
        <v>442</v>
      </c>
      <c r="D104" s="41">
        <f t="shared" si="14"/>
        <v>16945855</v>
      </c>
      <c r="E104" s="41">
        <f t="shared" si="14"/>
        <v>762.56347499999993</v>
      </c>
      <c r="F104" s="41">
        <f t="shared" si="14"/>
        <v>688.02499999999998</v>
      </c>
      <c r="G104" s="41">
        <f t="shared" si="14"/>
        <v>1450.588475</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880</v>
      </c>
      <c r="C106" s="41">
        <f>ROUND('Biomass Data Assumptions'!B66/1000*B106,0)</f>
        <v>880</v>
      </c>
      <c r="D106" s="41">
        <f>'Biomass Data Assumptions'!C66*C106</f>
        <v>17826600</v>
      </c>
      <c r="E106" s="41">
        <f>('Biomass Data Assumptions'!D66*'Energy Content Assumptions'!C50*D106)/2000</f>
        <v>623.93100000000015</v>
      </c>
      <c r="F106" s="41">
        <f>'Biomass Data Assumptions'!E66*B106*365/2000</f>
        <v>2409</v>
      </c>
      <c r="G106" s="41">
        <f>F106+E106</f>
        <v>3032.931</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101</v>
      </c>
      <c r="C108" s="41">
        <f>ROUND('Biomass Data Assumptions'!B67/1000*B108,0)</f>
        <v>10</v>
      </c>
      <c r="D108" s="41">
        <f>'Biomass Data Assumptions'!C67*C108</f>
        <v>149650</v>
      </c>
      <c r="E108" s="41">
        <f>('Biomass Data Assumptions'!D67*'Energy Content Assumptions'!C51*D108)/2000</f>
        <v>3.74125</v>
      </c>
      <c r="F108" s="41">
        <f>'Biomass Data Assumptions'!E67*B108*365/2000</f>
        <v>18.432500000000001</v>
      </c>
      <c r="G108" s="41">
        <f>F108+E108</f>
        <v>22.173750000000002</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455</v>
      </c>
      <c r="C110" s="41">
        <f>ROUND('Biomass Data Assumptions'!B68/1000*B110,0)</f>
        <v>46</v>
      </c>
      <c r="D110" s="41">
        <f>'Biomass Data Assumptions'!C68*C110</f>
        <v>688390</v>
      </c>
      <c r="E110" s="41">
        <f>('Biomass Data Assumptions'!D68*'Energy Content Assumptions'!C52*D110)/2000</f>
        <v>17.20975</v>
      </c>
      <c r="F110" s="41">
        <f>'Biomass Data Assumptions'!E68*B110*365/2000</f>
        <v>83.037499999999994</v>
      </c>
      <c r="G110" s="41">
        <f>F110+E110</f>
        <v>100.24724999999999</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6"/>
      <c r="B113" s="458"/>
      <c r="C113" s="458"/>
      <c r="D113" s="458"/>
      <c r="E113" s="458"/>
      <c r="F113" s="458"/>
      <c r="G113" s="458"/>
      <c r="H113" s="36"/>
      <c r="I113" s="36"/>
      <c r="J113" s="41"/>
      <c r="K113" s="41"/>
      <c r="L113" s="41"/>
      <c r="M113" s="41"/>
      <c r="N113" s="36"/>
      <c r="O113" s="36"/>
      <c r="P113" s="36"/>
      <c r="Q113" s="36"/>
      <c r="R113" s="36"/>
    </row>
    <row r="114" spans="1:18" hidden="1" x14ac:dyDescent="0.25">
      <c r="A114" s="456"/>
      <c r="B114" s="458"/>
      <c r="C114" s="458"/>
      <c r="D114" s="458"/>
      <c r="E114" s="458"/>
      <c r="F114" s="458"/>
      <c r="G114" s="458"/>
      <c r="H114" s="36"/>
      <c r="I114" s="36"/>
      <c r="J114" s="41"/>
      <c r="K114" s="41"/>
      <c r="L114" s="41"/>
      <c r="M114" s="41"/>
      <c r="N114" s="36"/>
      <c r="O114" s="36"/>
      <c r="P114" s="36"/>
      <c r="Q114" s="36"/>
      <c r="R114" s="36"/>
    </row>
    <row r="115" spans="1:18" x14ac:dyDescent="0.25">
      <c r="A115" s="467" t="s">
        <v>605</v>
      </c>
      <c r="B115" s="85">
        <v>1360</v>
      </c>
      <c r="C115" s="41">
        <f>ROUND('Biomass Data Assumptions'!$B$71/1000*B115,0)</f>
        <v>544</v>
      </c>
      <c r="D115" s="41">
        <f>'Biomass Data Assumptions'!$C$71*C115</f>
        <v>9332320</v>
      </c>
      <c r="E115" s="41">
        <f>('Biomass Data Assumptions'!$D$71*'Energy Content Assumptions'!$C$55*D115)/2000</f>
        <v>233.30799999999999</v>
      </c>
      <c r="F115" s="41">
        <f>'Biomass Data Assumptions'!$E$71*B115*365/2000</f>
        <v>0</v>
      </c>
      <c r="G115" s="41">
        <f>F115+E115</f>
        <v>233.30799999999999</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337+587+41437</f>
        <v>42361</v>
      </c>
      <c r="C117" s="41">
        <f>ROUND('Biomass Data Assumptions'!B72/1000*B117,0)</f>
        <v>212</v>
      </c>
      <c r="D117" s="41">
        <f>'Biomass Data Assumptions'!C72*C117</f>
        <v>3869000</v>
      </c>
      <c r="E117" s="41">
        <f>('Biomass Data Assumptions'!D72*'Energy Content Assumptions'!C56*D117)/2000</f>
        <v>377.22750000000002</v>
      </c>
      <c r="F117" s="41">
        <f>'Biomass Data Assumptions'!E72*B117*365/2000</f>
        <v>0</v>
      </c>
      <c r="G117" s="41">
        <f>F117+E117</f>
        <v>377.22750000000002</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31</v>
      </c>
      <c r="C119" s="41">
        <f>ROUND('Biomass Data Assumptions'!B73/1000*B119,0)</f>
        <v>1</v>
      </c>
      <c r="D119" s="41">
        <f>'Biomass Data Assumptions'!C73*C119</f>
        <v>13505</v>
      </c>
      <c r="E119" s="41">
        <f>('Biomass Data Assumptions'!D73*'Energy Content Assumptions'!C57*D119)/2000</f>
        <v>1.26609375</v>
      </c>
      <c r="F119" s="41">
        <f>'Biomass Data Assumptions'!E73*B119*365/2000</f>
        <v>0.56574999999999998</v>
      </c>
      <c r="G119" s="41">
        <f>F119+E119</f>
        <v>1.83184375</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5">B97+B104+B106+B108+B110+B115+B117+B119</f>
        <v>46267</v>
      </c>
      <c r="C121" s="48">
        <f t="shared" si="15"/>
        <v>2715</v>
      </c>
      <c r="D121" s="48">
        <f t="shared" si="15"/>
        <v>68301720</v>
      </c>
      <c r="E121" s="48">
        <f t="shared" si="15"/>
        <v>2252.9638687500001</v>
      </c>
      <c r="F121" s="48">
        <f t="shared" si="15"/>
        <v>3622.4607500000002</v>
      </c>
      <c r="G121" s="48">
        <f t="shared" si="15"/>
        <v>5875.4246187500012</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16719.32</v>
      </c>
      <c r="C124" s="543">
        <f>B124*'Energy Content Assumptions'!C33</f>
        <v>15047.388000000001</v>
      </c>
      <c r="D124" s="36"/>
      <c r="E124" s="36"/>
      <c r="F124" s="36"/>
      <c r="G124" s="36"/>
      <c r="H124" s="36"/>
      <c r="I124" s="36"/>
      <c r="J124" s="36"/>
      <c r="K124" s="36"/>
      <c r="L124" s="36"/>
      <c r="M124" s="36"/>
      <c r="N124" s="36"/>
      <c r="O124" s="36"/>
      <c r="P124" s="36"/>
      <c r="Q124" s="36"/>
      <c r="R124" s="36"/>
    </row>
    <row r="125" spans="1:18" x14ac:dyDescent="0.25">
      <c r="A125" s="50" t="s">
        <v>556</v>
      </c>
      <c r="B125" s="87">
        <v>2804.2</v>
      </c>
      <c r="C125" s="543">
        <f>B125*'Energy Content Assumptions'!C34</f>
        <v>2523.7799999999997</v>
      </c>
      <c r="D125" s="36"/>
      <c r="E125" s="36"/>
      <c r="F125" s="36"/>
      <c r="G125" s="36"/>
      <c r="H125" s="36"/>
      <c r="I125" s="36"/>
      <c r="J125" s="36"/>
      <c r="K125" s="36"/>
      <c r="L125" s="36"/>
      <c r="M125" s="36"/>
      <c r="N125" s="36"/>
      <c r="O125" s="36"/>
      <c r="P125" s="36"/>
      <c r="Q125" s="36"/>
      <c r="R125" s="36"/>
    </row>
    <row r="126" spans="1:18" x14ac:dyDescent="0.25">
      <c r="A126" s="50" t="s">
        <v>557</v>
      </c>
      <c r="B126" s="87">
        <v>4554.5</v>
      </c>
      <c r="C126" s="543">
        <f>B126*'Energy Content Assumptions'!C35</f>
        <v>4099.05</v>
      </c>
      <c r="D126" s="36"/>
      <c r="E126" s="36"/>
      <c r="F126" s="36"/>
      <c r="G126" s="36"/>
      <c r="H126" s="36"/>
      <c r="I126" s="36"/>
      <c r="J126" s="36"/>
      <c r="K126" s="36"/>
      <c r="L126" s="36"/>
      <c r="M126" s="36"/>
      <c r="N126" s="36"/>
      <c r="O126" s="36"/>
      <c r="P126" s="36"/>
      <c r="Q126" s="36"/>
      <c r="R126" s="36"/>
    </row>
    <row r="127" spans="1:18" x14ac:dyDescent="0.25">
      <c r="A127" s="50" t="s">
        <v>558</v>
      </c>
      <c r="B127" s="87">
        <v>1290.98</v>
      </c>
      <c r="C127" s="543">
        <f>B127*'Energy Content Assumptions'!C36</f>
        <v>1161.8820000000001</v>
      </c>
      <c r="D127" s="36"/>
      <c r="E127" s="36"/>
      <c r="F127" s="36"/>
      <c r="G127" s="36"/>
      <c r="H127" s="36"/>
      <c r="I127" s="36"/>
      <c r="J127" s="36"/>
      <c r="K127" s="36"/>
      <c r="L127" s="36"/>
      <c r="M127" s="36"/>
      <c r="N127" s="36"/>
      <c r="O127" s="36"/>
      <c r="P127" s="36"/>
      <c r="Q127" s="36"/>
      <c r="R127" s="36"/>
    </row>
    <row r="128" spans="1:18" x14ac:dyDescent="0.25">
      <c r="A128" s="50" t="s">
        <v>559</v>
      </c>
      <c r="B128" s="87">
        <v>18515.72</v>
      </c>
      <c r="C128" s="543">
        <f>B128*'Energy Content Assumptions'!C21</f>
        <v>9257.86</v>
      </c>
      <c r="D128" s="36"/>
      <c r="E128" s="36"/>
      <c r="F128" s="36"/>
      <c r="G128" s="36"/>
      <c r="H128" s="36"/>
      <c r="I128" s="36"/>
      <c r="J128" s="36"/>
      <c r="K128" s="36"/>
      <c r="L128" s="36"/>
      <c r="M128" s="36"/>
      <c r="N128" s="36"/>
      <c r="O128" s="36"/>
      <c r="P128" s="36"/>
      <c r="Q128" s="36"/>
      <c r="R128" s="36"/>
    </row>
    <row r="129" spans="1:18" x14ac:dyDescent="0.25">
      <c r="A129" s="50" t="s">
        <v>560</v>
      </c>
      <c r="B129" s="87">
        <v>778.48</v>
      </c>
      <c r="C129" s="543">
        <f>B129*'Energy Content Assumptions'!C22</f>
        <v>259.49333333333334</v>
      </c>
      <c r="D129" s="36"/>
      <c r="E129" s="36"/>
      <c r="F129" s="36"/>
      <c r="G129" s="36"/>
      <c r="H129" s="36"/>
      <c r="I129" s="36"/>
      <c r="J129" s="36"/>
      <c r="K129" s="36"/>
      <c r="L129" s="36"/>
      <c r="M129" s="36"/>
      <c r="N129" s="36"/>
      <c r="O129" s="36"/>
      <c r="P129" s="36"/>
      <c r="Q129" s="36"/>
      <c r="R129" s="36"/>
    </row>
    <row r="130" spans="1:18" x14ac:dyDescent="0.25">
      <c r="A130" s="50" t="s">
        <v>561</v>
      </c>
      <c r="B130" s="87">
        <v>17710.150000000001</v>
      </c>
      <c r="C130" s="543">
        <f>B130*'Energy Content Assumptions'!C23</f>
        <v>5903.3833333333332</v>
      </c>
      <c r="D130" s="36"/>
      <c r="E130" s="36"/>
      <c r="F130" s="36"/>
      <c r="G130" s="36"/>
      <c r="H130" s="36"/>
      <c r="I130" s="36"/>
      <c r="J130" s="36"/>
      <c r="K130" s="36"/>
      <c r="L130" s="36"/>
      <c r="M130" s="36"/>
      <c r="N130" s="36"/>
      <c r="O130" s="36"/>
      <c r="P130" s="36"/>
      <c r="Q130" s="36"/>
      <c r="R130" s="36"/>
    </row>
    <row r="131" spans="1:18" x14ac:dyDescent="0.25">
      <c r="A131" s="50" t="s">
        <v>562</v>
      </c>
      <c r="B131" s="87">
        <v>1731.18</v>
      </c>
      <c r="C131" s="543">
        <f>B131*'Energy Content Assumptions'!C24</f>
        <v>865.59</v>
      </c>
      <c r="D131" s="36"/>
      <c r="E131" s="36"/>
      <c r="F131" s="36"/>
      <c r="G131" s="36"/>
      <c r="H131" s="36"/>
      <c r="I131" s="36"/>
      <c r="J131" s="36"/>
      <c r="K131" s="36"/>
      <c r="L131" s="36"/>
      <c r="M131" s="36"/>
      <c r="N131" s="36"/>
      <c r="O131" s="36"/>
      <c r="P131" s="36"/>
      <c r="Q131" s="36"/>
      <c r="R131" s="36"/>
    </row>
    <row r="132" spans="1:18" x14ac:dyDescent="0.25">
      <c r="A132" s="50" t="s">
        <v>563</v>
      </c>
      <c r="B132" s="87">
        <v>22444.44</v>
      </c>
      <c r="C132" s="543">
        <f>B132*'Energy Content Assumptions'!C31</f>
        <v>5611.11</v>
      </c>
      <c r="D132" s="36"/>
      <c r="E132" s="36"/>
      <c r="F132" s="36"/>
      <c r="G132" s="36"/>
      <c r="H132" s="36"/>
      <c r="I132" s="36"/>
      <c r="J132" s="36"/>
      <c r="K132" s="36"/>
      <c r="L132" s="36"/>
      <c r="M132" s="36"/>
      <c r="N132" s="36"/>
      <c r="O132" s="36"/>
      <c r="P132" s="36"/>
      <c r="Q132" s="36"/>
      <c r="R132" s="36"/>
    </row>
    <row r="133" spans="1:18" x14ac:dyDescent="0.25">
      <c r="A133" s="50" t="s">
        <v>564</v>
      </c>
      <c r="B133" s="87">
        <v>3756.86</v>
      </c>
      <c r="C133" s="543">
        <f>B133*'Energy Content Assumptions'!C19</f>
        <v>3381.174</v>
      </c>
      <c r="D133" s="36"/>
      <c r="E133" s="36"/>
      <c r="F133" s="36"/>
      <c r="G133" s="36"/>
      <c r="H133" s="36"/>
      <c r="I133" s="36"/>
      <c r="J133" s="36"/>
      <c r="K133" s="36"/>
      <c r="L133" s="36"/>
      <c r="M133" s="36"/>
      <c r="N133" s="36"/>
      <c r="O133" s="36"/>
      <c r="P133" s="36"/>
      <c r="Q133" s="36"/>
      <c r="R133" s="36"/>
    </row>
    <row r="134" spans="1:18" x14ac:dyDescent="0.25">
      <c r="A134" s="50" t="s">
        <v>565</v>
      </c>
      <c r="B134" s="87">
        <v>7911.21</v>
      </c>
      <c r="C134" s="543">
        <f>B134*'Energy Content Assumptions'!C32</f>
        <v>6328.9680000000008</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Assumptions'!$M$12</f>
        <v>216818.95</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Assumptions'!$F$12</f>
        <v>113950.24</v>
      </c>
      <c r="C138" s="543">
        <f>B138*'Energy Content Assumptions'!$C$28</f>
        <v>56975.12</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Assumptions'!$H$12</f>
        <v>165.2</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Assumptions'!$I$12</f>
        <v>113785.04000000001</v>
      </c>
      <c r="C140" s="543">
        <f>B140*'Energy Content Assumptions'!$C$28</f>
        <v>56892.520000000004</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Assumptions'!J12,'Biomass Data Assumptions'!F12*'Biomass Data Assumptions'!I41)</f>
        <v>18000.793328000003</v>
      </c>
      <c r="C141" s="543">
        <f>B141*'Energy Content Assumptions'!C26</f>
        <v>5400.2379984000008</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Assumptions'!K12,'Biomass Data Assumptions'!F12*'Biomass Data Assumptions'!I42)</f>
        <v>22131.190280000003</v>
      </c>
      <c r="C142" s="543">
        <f>B142*'Energy Content Assumptions'!C27</f>
        <v>19918.071252000002</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Assumptions'!L12,'Biomass Data Assumptions'!F12*'Biomass Data Assumptions'!I43)</f>
        <v>30642.311271999999</v>
      </c>
      <c r="C143" s="543">
        <f>B143*'Energy Content Assumptions'!$C$28</f>
        <v>15321.155636</v>
      </c>
      <c r="D143" s="547" t="s">
        <v>1064</v>
      </c>
      <c r="E143" s="36"/>
      <c r="F143" s="36"/>
      <c r="G143" s="36"/>
      <c r="H143" s="36"/>
      <c r="I143" s="36"/>
      <c r="J143" s="36"/>
      <c r="K143" s="36"/>
      <c r="L143" s="36"/>
      <c r="M143" s="36"/>
      <c r="N143" s="36"/>
      <c r="O143" s="36"/>
      <c r="P143" s="36"/>
      <c r="Q143" s="36"/>
      <c r="R143" s="36"/>
    </row>
    <row r="144" spans="1:18" x14ac:dyDescent="0.25">
      <c r="A144" s="50" t="s">
        <v>463</v>
      </c>
      <c r="B144" s="87">
        <v>21297.54</v>
      </c>
      <c r="C144" s="543">
        <f>B144*'Energy Content Assumptions'!C29</f>
        <v>17038.032000000003</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6815.2128000000012</v>
      </c>
      <c r="D145" s="36" t="s">
        <v>1202</v>
      </c>
      <c r="E145" s="36"/>
      <c r="F145" s="36"/>
      <c r="G145" s="36"/>
      <c r="H145" s="36"/>
      <c r="I145" s="36"/>
      <c r="J145" s="36"/>
      <c r="K145" s="36"/>
      <c r="L145" s="36"/>
      <c r="M145" s="36"/>
      <c r="N145" s="36"/>
      <c r="O145" s="36"/>
      <c r="P145" s="36"/>
      <c r="Q145" s="36"/>
      <c r="R145" s="36"/>
    </row>
    <row r="146" spans="1:18" x14ac:dyDescent="0.25">
      <c r="A146" s="712"/>
      <c r="B146" s="713"/>
      <c r="C146" s="714"/>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Assumptions'!R12/2000</f>
        <v>690.35120000000006</v>
      </c>
      <c r="C148" s="1239">
        <f>B148*'Energy Content Assumptions'!C39</f>
        <v>586.79852000000005</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Assumptions'!S12/2000</f>
        <v>1048.86313</v>
      </c>
      <c r="C149" s="1239">
        <f>B149*'Energy Content Assumptions'!C40</f>
        <v>52.443156500000001</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99"/>
  <sheetViews>
    <sheetView topLeftCell="A110" zoomScale="70" zoomScaleNormal="75"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445</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0</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0</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0</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0</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0</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8.5</v>
      </c>
      <c r="D15" s="294">
        <f>E15*'Conversion Tables'!C14</f>
        <v>106.97760000000001</v>
      </c>
      <c r="E15" s="294">
        <f>C15*'Prac. Rec. Assumptions'!B11</f>
        <v>6.8000000000000007</v>
      </c>
      <c r="F15" s="294">
        <f>$E15</f>
        <v>6.8000000000000007</v>
      </c>
      <c r="G15" s="294">
        <f>$E15</f>
        <v>6.8000000000000007</v>
      </c>
      <c r="H15" s="294">
        <f>$E15</f>
        <v>6.8000000000000007</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0</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0</v>
      </c>
      <c r="D17" s="294">
        <f>E17*'Conversion Tables'!C16</f>
        <v>0</v>
      </c>
      <c r="E17" s="294">
        <f>C17*'Prac. Rec. Assumptions'!B13</f>
        <v>0</v>
      </c>
      <c r="F17" s="294">
        <f t="shared" si="2"/>
        <v>0</v>
      </c>
      <c r="G17" s="294">
        <f t="shared" si="2"/>
        <v>0</v>
      </c>
      <c r="H17" s="294">
        <f t="shared" si="2"/>
        <v>0</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0</v>
      </c>
      <c r="D18" s="294">
        <f>E18*'Conversion Tables'!C17</f>
        <v>0</v>
      </c>
      <c r="E18" s="294">
        <f>C18*'Prac. Rec. Assumptions'!B14</f>
        <v>0</v>
      </c>
      <c r="F18" s="294">
        <f t="shared" si="2"/>
        <v>0</v>
      </c>
      <c r="G18" s="294">
        <f t="shared" si="2"/>
        <v>0</v>
      </c>
      <c r="H18" s="294">
        <f t="shared" si="2"/>
        <v>0</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0</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0</v>
      </c>
      <c r="D20" s="294">
        <f>E20*'Conversion Tables'!C19</f>
        <v>0</v>
      </c>
      <c r="E20" s="294">
        <f>C20*'Prac. Rec. Assumptions'!B16</f>
        <v>0</v>
      </c>
      <c r="F20" s="294">
        <f t="shared" si="2"/>
        <v>0</v>
      </c>
      <c r="G20" s="294">
        <f t="shared" si="2"/>
        <v>0</v>
      </c>
      <c r="H20" s="294">
        <f t="shared" si="2"/>
        <v>0</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0</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Assumptions'!P13*1000*'Energy Content Assumptions'!C18</f>
        <v>0</v>
      </c>
      <c r="D22" s="294">
        <f>E22*'Conversion Tables'!C21</f>
        <v>0</v>
      </c>
      <c r="E22" s="294">
        <f>C22*'Prac. Rec. Assumptions'!B18</f>
        <v>0</v>
      </c>
      <c r="F22" s="294">
        <f t="shared" si="2"/>
        <v>0</v>
      </c>
      <c r="G22" s="294">
        <f t="shared" si="2"/>
        <v>0</v>
      </c>
      <c r="H22" s="294">
        <f t="shared" si="2"/>
        <v>0</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586.22</v>
      </c>
      <c r="D23" s="294">
        <f>E23*'Conversion Tables'!C22</f>
        <v>9576.48992</v>
      </c>
      <c r="E23" s="294">
        <f>C23*'Prac. Rec. Assumptions'!B19</f>
        <v>586.22</v>
      </c>
      <c r="F23" s="297">
        <f t="shared" si="2"/>
        <v>586.22</v>
      </c>
      <c r="G23" s="297">
        <f t="shared" si="2"/>
        <v>586.22</v>
      </c>
      <c r="H23" s="297">
        <f t="shared" si="2"/>
        <v>586.22</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14730.815000000001</v>
      </c>
      <c r="D25" s="294">
        <f>E25*'Conversion Tables'!C24</f>
        <v>260735.42550000001</v>
      </c>
      <c r="E25" s="294">
        <f>C25*'Prac. Rec. Assumptions'!B21</f>
        <v>14730.815000000001</v>
      </c>
      <c r="F25" s="294">
        <f>($C25*(1+'Biomass Data Assumptions'!G$98))*'Prac. Rec. Assumptions'!$B21</f>
        <v>14717.372723243385</v>
      </c>
      <c r="G25" s="294">
        <f>($C25*(1+'Biomass Data Assumptions'!H$98))*'Prac. Rec. Assumptions'!$B21</f>
        <v>14730.815000000001</v>
      </c>
      <c r="H25" s="294">
        <f>($C25*(1+'Biomass Data Assumptions'!I$98))*'Prac. Rec. Assumptions'!$B21</f>
        <v>14742.336951505673</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1135.5266666666666</v>
      </c>
      <c r="D26" s="294">
        <f>E26*'Conversion Tables'!C25</f>
        <v>17714.216</v>
      </c>
      <c r="E26" s="294">
        <f>C26*'Prac. Rec. Assumptions'!B22</f>
        <v>1135.5266666666666</v>
      </c>
      <c r="F26" s="294">
        <f>($C26*(1+'Biomass Data Assumptions'!G$98))*'Prac. Rec. Assumptions'!$B22</f>
        <v>1134.4904671272759</v>
      </c>
      <c r="G26" s="294">
        <f>($C26*(1+'Biomass Data Assumptions'!H$98))*'Prac. Rec. Assumptions'!$B22</f>
        <v>1135.5266666666666</v>
      </c>
      <c r="H26" s="294">
        <f>($C26*(1+'Biomass Data Assumptions'!I$98))*'Prac. Rec. Assumptions'!$B22</f>
        <v>1136.4148377004303</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23644.173333333332</v>
      </c>
      <c r="D27" s="294">
        <f>E27*'Conversion Tables'!C26</f>
        <v>368849.10399999999</v>
      </c>
      <c r="E27" s="294">
        <f>C27*'Prac. Rec. Assumptions'!B23</f>
        <v>23644.173333333332</v>
      </c>
      <c r="F27" s="294">
        <f>($C27*(1+'Biomass Data Assumptions'!G$98))*'Prac. Rec. Assumptions'!$B23</f>
        <v>23622.597370182069</v>
      </c>
      <c r="G27" s="294">
        <f>($C27*(1+'Biomass Data Assumptions'!H$98))*'Prac. Rec. Assumptions'!$B23</f>
        <v>23644.173333333332</v>
      </c>
      <c r="H27" s="294">
        <f>($C27*(1+'Biomass Data Assumptions'!I$98))*'Prac. Rec. Assumptions'!$B23</f>
        <v>23662.667016034418</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554.16</v>
      </c>
      <c r="D28" s="294">
        <f>E28*'Conversion Tables'!C27</f>
        <v>9808.6319999999996</v>
      </c>
      <c r="E28" s="294">
        <f>C28*'Prac. Rec. Assumptions'!B24</f>
        <v>554.16</v>
      </c>
      <c r="F28" s="294">
        <f>($C28*(1+'Biomass Data Assumptions'!G$98))*'Prac. Rec. Assumptions'!$B24</f>
        <v>553.65431364880715</v>
      </c>
      <c r="G28" s="294">
        <f>($C28*(1+'Biomass Data Assumptions'!H$98))*'Prac. Rec. Assumptions'!$B24</f>
        <v>554.16</v>
      </c>
      <c r="H28" s="294">
        <f>($C28*(1+'Biomass Data Assumptions'!I$98))*'Prac. Rec. Assumptions'!$B24</f>
        <v>554.59344544387955</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40659.395000000004</v>
      </c>
      <c r="D29" s="295">
        <f>SUM(D13:D28)</f>
        <v>666790.84502000001</v>
      </c>
      <c r="E29" s="295">
        <f t="shared" si="3"/>
        <v>40657.695000000007</v>
      </c>
      <c r="F29" s="295">
        <f>SUM(F13:F28)</f>
        <v>40621.13487420154</v>
      </c>
      <c r="G29" s="295">
        <f>SUM(G13:G28)</f>
        <v>40657.695000000007</v>
      </c>
      <c r="H29" s="295">
        <f>SUM(H13:H28)</f>
        <v>40689.03225068441</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4806.4123085999991</v>
      </c>
      <c r="D32" s="294">
        <f>E32*'Conversion Tables'!C29</f>
        <v>46141.558162559995</v>
      </c>
      <c r="E32" s="294">
        <f>C32*'Prac. Rec. Assumptions'!B26</f>
        <v>2883.8473851599997</v>
      </c>
      <c r="F32" s="294">
        <f>($C32*(1+'Biomass Data Assumptions'!G$98)*(1+'Biomass Data Assumptions'!C$82))*'Prac. Rec. Assumptions'!$B26</f>
        <v>2879.2595080556139</v>
      </c>
      <c r="G32" s="294">
        <f>($C32*(1+'Biomass Data Assumptions'!H$98)*(1+'Biomass Data Assumptions'!D$82))*'Prac. Rec. Assumptions'!$B26</f>
        <v>2879.9325681037058</v>
      </c>
      <c r="H32" s="294">
        <f>($C32*(1+'Biomass Data Assumptions'!I$98)*(1+'Biomass Data Assumptions'!E$82))*'Prac. Rec. Assumptions'!$B26</f>
        <v>2880.2282105191457</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17727.822895499998</v>
      </c>
      <c r="D33" s="294">
        <f>E33*'Conversion Tables'!C30</f>
        <v>205954.7552707608</v>
      </c>
      <c r="E33" s="294">
        <f>C33*'Prac. Rec. Assumptions'!B27</f>
        <v>14182.258316399999</v>
      </c>
      <c r="F33" s="294">
        <f>($C33*(1+'Biomass Data Assumptions'!G$98)*(1+'Biomass Data Assumptions'!C$82))*'Prac. Rec. Assumptions'!$B27</f>
        <v>14159.695937214079</v>
      </c>
      <c r="G33" s="294">
        <f>($C33*(1+'Biomass Data Assumptions'!H$98)*(1+'Biomass Data Assumptions'!D$82))*'Prac. Rec. Assumptions'!$B27</f>
        <v>14163.005929106719</v>
      </c>
      <c r="H33" s="294">
        <f>($C33*(1+'Biomass Data Assumptions'!I$98)*(1+'Biomass Data Assumptions'!E$82))*'Prac. Rec. Assumptions'!$B27</f>
        <v>14164.459846927275</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13636.397331499995</v>
      </c>
      <c r="D34" s="294">
        <f>E34*'Conversion Tables'!C31</f>
        <v>142579.98867459092</v>
      </c>
      <c r="E34" s="294">
        <f>C34*'Prac. Rec. Assumptions'!B28</f>
        <v>9818.2060786799975</v>
      </c>
      <c r="F34" s="294">
        <f>($C34*(1+'Biomass Data Assumptions'!G$98)*(1+'Biomass Data Assumptions'!C$82))*'Prac. Rec. Assumptions'!$B28</f>
        <v>9802.5864161741683</v>
      </c>
      <c r="G34" s="294">
        <f>($C34*(1+'Biomass Data Assumptions'!H$98)*(1+'Biomass Data Assumptions'!D$82))*'Prac. Rec. Assumptions'!$B28</f>
        <v>9804.8778835692519</v>
      </c>
      <c r="H34" s="294">
        <f>($C34*(1+'Biomass Data Assumptions'!I$98)*(1+'Biomass Data Assumptions'!E$82))*'Prac. Rec. Assumptions'!$B28</f>
        <v>9805.8844133098082</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19283.440000000002</v>
      </c>
      <c r="D35" s="294">
        <f>E35*'Conversion Tables'!C32</f>
        <v>218442.80832000007</v>
      </c>
      <c r="E35" s="294">
        <f>C35*'Prac. Rec. Assumptions'!B29</f>
        <v>12341.401600000005</v>
      </c>
      <c r="F35" s="294">
        <f>($C35*(1+'Biomass Data Assumptions'!G$98)*(1+'Biomass Data Assumptions'!C$83))*'Prac. Rec. Assumptions'!$B29</f>
        <v>12949.249524307679</v>
      </c>
      <c r="G35" s="294">
        <f>($C35*(1+'Biomass Data Assumptions'!H$98)*(1+'Biomass Data Assumptions'!D$83))*'Prac. Rec. Assumptions'!$B29</f>
        <v>13611.866704520669</v>
      </c>
      <c r="H35" s="294">
        <f>($C35*(1+'Biomass Data Assumptions'!I$98)*(1+'Biomass Data Assumptions'!E$83))*'Prac. Rec. Assumptions'!$B29</f>
        <v>14306.514744639206</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32922.422500000001</v>
      </c>
      <c r="D37" s="294">
        <f>E37*'Conversion Tables'!C34</f>
        <v>526758.76</v>
      </c>
      <c r="E37" s="294">
        <f>C37*'Prac. Rec. Assumptions'!B31</f>
        <v>32922.422500000001</v>
      </c>
      <c r="F37" s="294">
        <f>($C37*(1+'Biomass Data Assumptions'!G$98)*(1+'Biomass Data Assumptions'!C$84))*'Prac. Rec. Assumptions'!$B31</f>
        <v>35967.034070100934</v>
      </c>
      <c r="G37" s="294">
        <f>($C37*(1+'Biomass Data Assumptions'!H$98)*(1+'Biomass Data Assumptions'!D$84))*'Prac. Rec. Assumptions'!$B31</f>
        <v>39365.016875814479</v>
      </c>
      <c r="H37" s="294">
        <f>($C37*(1+'Biomass Data Assumptions'!I$98)*(1+'Biomass Data Assumptions'!E$84))*'Prac. Rec. Assumptions'!$B31</f>
        <v>43078.376616502253</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4557.3680000000004</v>
      </c>
      <c r="D38" s="294">
        <f>E38*'Conversion Tables'!C35</f>
        <v>40332.7068</v>
      </c>
      <c r="E38" s="294">
        <f>C38*'Prac. Rec. Assumptions'!B32</f>
        <v>2278.6840000000002</v>
      </c>
      <c r="F38" s="294">
        <f>($C38*(1+'Biomass Data Assumptions'!G$98)*(1+'Biomass Data Assumptions'!C$84))*'Prac. Rec. Assumptions'!$B32</f>
        <v>2489.4129544383882</v>
      </c>
      <c r="G38" s="294">
        <f>($C38*(1+'Biomass Data Assumptions'!H$98)*(1+'Biomass Data Assumptions'!D$84))*'Prac. Rec. Assumptions'!$B32</f>
        <v>2724.6000537976342</v>
      </c>
      <c r="H38" s="294">
        <f>($C38*(1+'Biomass Data Assumptions'!I$98)*(1+'Biomass Data Assumptions'!E$84))*'Prac. Rec. Assumptions'!$B32</f>
        <v>2981.6155704215821</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43114.688999999998</v>
      </c>
      <c r="D39" s="299">
        <f>E39*'Conversion Tables'!C36</f>
        <v>0</v>
      </c>
      <c r="E39" s="299">
        <f>C39*'Prac. Rec. Assumptions'!B33</f>
        <v>0</v>
      </c>
      <c r="F39" s="294">
        <f>($C39*(1+'Biomass Data Assumptions'!G$98)*(1+'Biomass Data Assumptions'!C$84))*'Prac. Rec. Assumptions'!$B33</f>
        <v>0</v>
      </c>
      <c r="G39" s="294">
        <f>($C39*(1+'Biomass Data Assumptions'!H$98)*(1+'Biomass Data Assumptions'!D$84))*'Prac. Rec. Assumptions'!$B33</f>
        <v>0</v>
      </c>
      <c r="H39" s="294">
        <f>($C39*(1+'Biomass Data Assumptions'!I$98)*(1+'Biomass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14268.465</v>
      </c>
      <c r="D40" s="299">
        <f>E40*'Conversion Tables'!C37</f>
        <v>0</v>
      </c>
      <c r="E40" s="299">
        <f>C40*'Prac. Rec. Assumptions'!B34</f>
        <v>0</v>
      </c>
      <c r="F40" s="294">
        <f>($C40*(1+'Biomass Data Assumptions'!G$98)*(1+'Biomass Data Assumptions'!C$84))*'Prac. Rec. Assumptions'!$B34</f>
        <v>0</v>
      </c>
      <c r="G40" s="294">
        <f>($C40*(1+'Biomass Data Assumptions'!H$98)*(1+'Biomass Data Assumptions'!D$84))*'Prac. Rec. Assumptions'!$B34</f>
        <v>0</v>
      </c>
      <c r="H40" s="294">
        <f>($C40*(1+'Biomass Data Assumptions'!I$98)*(1+'Biomass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12152.915999999999</v>
      </c>
      <c r="D41" s="299">
        <f>E41*'Conversion Tables'!C38</f>
        <v>0</v>
      </c>
      <c r="E41" s="299">
        <f>C41*'Prac. Rec. Assumptions'!B35</f>
        <v>0</v>
      </c>
      <c r="F41" s="294">
        <f>($C41*(1+'Biomass Data Assumptions'!G$98)*(1+'Biomass Data Assumptions'!C$84))*'Prac. Rec. Assumptions'!$B35</f>
        <v>0</v>
      </c>
      <c r="G41" s="294">
        <f>($C41*(1+'Biomass Data Assumptions'!H$98)*(1+'Biomass Data Assumptions'!D$84))*'Prac. Rec. Assumptions'!$B35</f>
        <v>0</v>
      </c>
      <c r="H41" s="294">
        <f>($C41*(1+'Biomass Data Assumptions'!I$98)*(1+'Biomass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5213.5019999999995</v>
      </c>
      <c r="D42" s="299">
        <f>E42*'Conversion Tables'!C39</f>
        <v>75710.476043999995</v>
      </c>
      <c r="E42" s="299">
        <f>C42*'Prac. Rec. Assumptions'!B36</f>
        <v>5213.5019999999995</v>
      </c>
      <c r="F42" s="294">
        <f>($C42*(1+'Biomass Data Assumptions'!G$98)*(1+'Biomass Data Assumptions'!C$84))*'Prac. Rec. Assumptions'!$B36</f>
        <v>5695.6381037434085</v>
      </c>
      <c r="G42" s="294">
        <f>($C42*(1+'Biomass Data Assumptions'!H$98)*(1+'Biomass Data Assumptions'!D$84))*'Prac. Rec. Assumptions'!$B36</f>
        <v>6233.733080003226</v>
      </c>
      <c r="H42" s="294">
        <f>($C42*(1+'Biomass Data Assumptions'!I$98)*(1+'Biomass Data Assumptions'!E$84))*'Prac. Rec. Assumptions'!$B36</f>
        <v>6821.7702584579774</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167683.43503560001</v>
      </c>
      <c r="D43" s="295">
        <f t="shared" si="4"/>
        <v>1255921.0532719116</v>
      </c>
      <c r="E43" s="295">
        <f t="shared" si="4"/>
        <v>79640.321880239993</v>
      </c>
      <c r="F43" s="295">
        <f t="shared" si="4"/>
        <v>83942.876514034258</v>
      </c>
      <c r="G43" s="295">
        <f t="shared" si="4"/>
        <v>88783.033094915678</v>
      </c>
      <c r="H43" s="295">
        <f t="shared" si="4"/>
        <v>94038.849660777239</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0</v>
      </c>
      <c r="D46" s="294">
        <f>E46*'Conversion Tables'!C41</f>
        <v>0</v>
      </c>
      <c r="E46" s="294">
        <f>C46*'Prac. Rec. Assumptions'!B38</f>
        <v>0</v>
      </c>
      <c r="F46" s="294">
        <f>$E46</f>
        <v>0</v>
      </c>
      <c r="G46" s="294">
        <f>$E46</f>
        <v>0</v>
      </c>
      <c r="H46" s="294">
        <f>$E46</f>
        <v>0</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2932.0440600000002</v>
      </c>
      <c r="D47" s="294"/>
      <c r="E47" s="294">
        <f>C47*'Prac. Rec. Assumptions'!B39</f>
        <v>1466.0220300000001</v>
      </c>
      <c r="F47" s="294">
        <f>($C47*(1+'Biomass Data Assumptions'!G$98))*'Prac. Rec. Assumptions'!$B39</f>
        <v>1464.684244286273</v>
      </c>
      <c r="G47" s="294">
        <f>($C47*(1+'Biomass Data Assumptions'!H$98))*'Prac. Rec. Assumptions'!$B39</f>
        <v>1466.0220300000001</v>
      </c>
      <c r="H47" s="294">
        <f>($C47*(1+'Biomass Data Assumptions'!I$98))*'Prac. Rec. Assumptions'!$B39</f>
        <v>1467.1687034689091</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262.04163825000001</v>
      </c>
      <c r="D48" s="294"/>
      <c r="E48" s="294">
        <f>C48*'Prac. Rec. Assumptions'!B40</f>
        <v>262.04163825000001</v>
      </c>
      <c r="F48" s="294">
        <f>($C48*(1+'Biomass Data Assumptions'!G$98))*'Prac. Rec. Assumptions'!$B40</f>
        <v>261.80251799608919</v>
      </c>
      <c r="G48" s="294">
        <f>($C48*(1+'Biomass Data Assumptions'!H$98))*'Prac. Rec. Assumptions'!$B40</f>
        <v>262.04163825000001</v>
      </c>
      <c r="H48" s="294">
        <f>($C48*(1+'Biomass Data Assumptions'!I$98))*'Prac. Rec. Assumptions'!$B40</f>
        <v>262.24659846763791</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3194.08569825</v>
      </c>
      <c r="D49" s="295">
        <f>SUM(D45:D48)</f>
        <v>0</v>
      </c>
      <c r="E49" s="295">
        <f t="shared" si="6"/>
        <v>1728.0636682500001</v>
      </c>
      <c r="F49" s="295">
        <f>SUM(F45:F48)</f>
        <v>1726.4867622823622</v>
      </c>
      <c r="G49" s="295">
        <f>SUM(G45:G48)</f>
        <v>1728.0636682500001</v>
      </c>
      <c r="H49" s="295">
        <f>SUM(H45:H48)</f>
        <v>1729.4153019365472</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0</v>
      </c>
      <c r="D52" s="299">
        <f>E52*'Conversion Tables'!C45</f>
        <v>0</v>
      </c>
      <c r="E52" s="299">
        <f>C52*'Prac. Rec. Assumptions'!B42</f>
        <v>0</v>
      </c>
      <c r="F52" s="294">
        <f t="shared" ref="F52:H59" si="7">$E52</f>
        <v>0</v>
      </c>
      <c r="G52" s="294">
        <f t="shared" si="7"/>
        <v>0</v>
      </c>
      <c r="H52" s="294">
        <f t="shared" si="7"/>
        <v>0</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0</v>
      </c>
      <c r="D53" s="299">
        <f>E53*'Conversion Tables'!C46</f>
        <v>0</v>
      </c>
      <c r="E53" s="299">
        <f>C53*'Prac. Rec. Assumptions'!B43</f>
        <v>0</v>
      </c>
      <c r="F53" s="294">
        <f t="shared" si="7"/>
        <v>0</v>
      </c>
      <c r="G53" s="294">
        <f t="shared" si="7"/>
        <v>0</v>
      </c>
      <c r="H53" s="294">
        <f t="shared" si="7"/>
        <v>0</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110.2884</v>
      </c>
      <c r="D54" s="299">
        <f>E54*'Conversion Tables'!C47</f>
        <v>976.97876255999995</v>
      </c>
      <c r="E54" s="299">
        <f>C54*'Prac. Rec. Assumptions'!B44</f>
        <v>66.17304</v>
      </c>
      <c r="F54" s="294">
        <f t="shared" si="7"/>
        <v>66.17304</v>
      </c>
      <c r="G54" s="294">
        <f t="shared" si="7"/>
        <v>66.17304</v>
      </c>
      <c r="H54" s="294">
        <f t="shared" si="7"/>
        <v>66.17304</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0</v>
      </c>
      <c r="D55" s="299">
        <f>E55*'Conversion Tables'!C48</f>
        <v>0</v>
      </c>
      <c r="E55" s="299">
        <f>C55*'Prac. Rec. Assumptions'!B45</f>
        <v>0</v>
      </c>
      <c r="F55" s="294">
        <f t="shared" si="7"/>
        <v>0</v>
      </c>
      <c r="G55" s="294">
        <f t="shared" si="7"/>
        <v>0</v>
      </c>
      <c r="H55" s="294">
        <f t="shared" si="7"/>
        <v>0</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0.54749999999999999</v>
      </c>
      <c r="D56" s="299">
        <f>E56*'Conversion Tables'!C49</f>
        <v>1.6166579999999999</v>
      </c>
      <c r="E56" s="299">
        <f>C56*'Prac. Rec. Assumptions'!B46</f>
        <v>0.1095</v>
      </c>
      <c r="F56" s="294">
        <f t="shared" si="7"/>
        <v>0.1095</v>
      </c>
      <c r="G56" s="294">
        <f t="shared" si="7"/>
        <v>0.1095</v>
      </c>
      <c r="H56" s="294">
        <f t="shared" si="7"/>
        <v>0.1095</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0</v>
      </c>
      <c r="D57" s="299">
        <f>E57*'Conversion Tables'!C50</f>
        <v>0</v>
      </c>
      <c r="E57" s="299">
        <f>C57*'Prac. Rec. Assumptions'!B47</f>
        <v>0</v>
      </c>
      <c r="F57" s="294">
        <f t="shared" si="7"/>
        <v>0</v>
      </c>
      <c r="G57" s="294">
        <f t="shared" si="7"/>
        <v>0</v>
      </c>
      <c r="H57" s="294">
        <f t="shared" si="7"/>
        <v>0</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1.7793749999999999</v>
      </c>
      <c r="D58" s="299">
        <f>E58*'Conversion Tables'!C51</f>
        <v>21.352499999999999</v>
      </c>
      <c r="E58" s="299">
        <f>C58*'Prac. Rec. Assumptions'!B48</f>
        <v>1.7793749999999999</v>
      </c>
      <c r="F58" s="294">
        <f t="shared" si="7"/>
        <v>1.7793749999999999</v>
      </c>
      <c r="G58" s="294">
        <f t="shared" si="7"/>
        <v>1.7793749999999999</v>
      </c>
      <c r="H58" s="294">
        <f t="shared" si="7"/>
        <v>1.7793749999999999</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0</v>
      </c>
      <c r="D59" s="299">
        <f>E59*'Conversion Tables'!C52</f>
        <v>0</v>
      </c>
      <c r="E59" s="299">
        <f>C59*'Prac. Rec. Assumptions'!B49</f>
        <v>0</v>
      </c>
      <c r="F59" s="294">
        <f t="shared" si="7"/>
        <v>0</v>
      </c>
      <c r="G59" s="294">
        <f t="shared" si="7"/>
        <v>0</v>
      </c>
      <c r="H59" s="294">
        <f t="shared" si="7"/>
        <v>0</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Assumptions'!AE13</f>
        <v>8770.639746000008</v>
      </c>
      <c r="D60" s="299">
        <f>E60*'Conversion Tables'!C53</f>
        <v>105247.6769520001</v>
      </c>
      <c r="E60" s="299">
        <f>C60*'Prac. Rec. Assumptions'!B50</f>
        <v>8770.639746000008</v>
      </c>
      <c r="F60" s="294">
        <f>($C60*(1+'Biomass Data Assumptions'!G$98*(4/5)))*'Prac. Rec. Assumptions'!$B50</f>
        <v>8764.2369846158854</v>
      </c>
      <c r="G60" s="294">
        <f>($C60*(1+'Biomass Data Assumptions'!H$98*(9/10)))*'Prac. Rec. Assumptions'!$B50</f>
        <v>8770.639746000008</v>
      </c>
      <c r="H60" s="294">
        <f>($C60*(1+'Biomass Data Assumptions'!I$98*(14/15)))*'Prac. Rec. Assumptions'!$B50</f>
        <v>8777.0425073841307</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8883.2550210000081</v>
      </c>
      <c r="D61" s="295">
        <f>SUM(D52:D60)</f>
        <v>106247.62487256009</v>
      </c>
      <c r="E61" s="295">
        <f t="shared" ref="E61:P61" si="8">SUM(E52:E60)</f>
        <v>8838.7016610000082</v>
      </c>
      <c r="F61" s="295">
        <f>SUM(F52:F60)</f>
        <v>8832.2988996158856</v>
      </c>
      <c r="G61" s="295">
        <f>SUM(G52:G60)</f>
        <v>8838.7016610000082</v>
      </c>
      <c r="H61" s="295">
        <f>SUM(H52:H60)</f>
        <v>8845.1044223841309</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Assumptions'!AB13</f>
        <v>881.33241639999994</v>
      </c>
      <c r="D63" s="300">
        <f>E63*'Conversion Tables'!C55</f>
        <v>545544.76575159992</v>
      </c>
      <c r="E63" s="299">
        <f>C63*'Prac. Rec. Assumptions'!B51</f>
        <v>881.33241639999994</v>
      </c>
      <c r="F63" s="294">
        <f>($C63*(1+'Biomass Data Assumptions'!G$98*(4/5)))*'Prac. Rec. Assumptions'!$B51</f>
        <v>880.6890242044791</v>
      </c>
      <c r="G63" s="294">
        <f>($C63*(1+'Biomass Data Assumptions'!H$98*(9/10)))*'Prac. Rec. Assumptions'!$B51</f>
        <v>881.33241639999994</v>
      </c>
      <c r="H63" s="294">
        <f>($C63*(1+'Biomass Data Assumptions'!I$98*(14/15)))*'Prac. Rec. Assumptions'!$B51</f>
        <v>881.97580859552079</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542">
        <f>'Biomass Data Assumptions'!X13</f>
        <v>0</v>
      </c>
      <c r="D64" s="300">
        <f>E64*'Conversion Tables'!C56</f>
        <v>0</v>
      </c>
      <c r="E64" s="299">
        <f>C64*'Prac. Rec. Assumptions'!B52</f>
        <v>0</v>
      </c>
      <c r="F64" s="545">
        <f>($C64*(1+'Biomass Data Assumptions'!G$98*(3/5))*(1+('Biomass Data Assumptions'!C$82-((1+'Biomass Data Assumptions'!$B$82)^2 - 1))))*'Prac. Rec. Assumptions'!$B52</f>
        <v>0</v>
      </c>
      <c r="G64" s="545">
        <f>($C64*(1+'Biomass Data Assumptions'!H$98*(4/5))*(1+('Biomass Data Assumptions'!D$82-((1+'Biomass Data Assumptions'!$B$82)^2 - 1))))*'Prac. Rec. Assumptions'!$B52</f>
        <v>0</v>
      </c>
      <c r="H64" s="545">
        <f>($C64*(1+'Biomass Data Assumptions'!I$98*(13/15))*(1+('Biomass Data Assumptions'!E$82-((1+'Biomass Data Assumptions'!$B$82)^2 - 1))))*'Prac. Rec. Assumptions'!$B52</f>
        <v>0</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881.33241639999994</v>
      </c>
      <c r="D65" s="295">
        <f>SUM(D63:D64)</f>
        <v>545544.76575159992</v>
      </c>
      <c r="E65" s="295">
        <f t="shared" ref="E65:P65" si="9">SUM(E63:E64)</f>
        <v>881.33241639999994</v>
      </c>
      <c r="F65" s="295">
        <f>SUM(F63:F64)</f>
        <v>880.6890242044791</v>
      </c>
      <c r="G65" s="295">
        <f>SUM(G63:G64)</f>
        <v>881.33241639999994</v>
      </c>
      <c r="H65" s="295">
        <f>SUM(H63:H64)</f>
        <v>881.97580859552079</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38771.941112966771</v>
      </c>
      <c r="D67" s="295">
        <f t="shared" ref="D67" si="10">D61+D65</f>
        <v>651792.39062415995</v>
      </c>
      <c r="E67" s="295">
        <f>E61+(E63*1000000/29487.1582406855)+(E64*1000000/25364.5039539246)</f>
        <v>38727.387752966773</v>
      </c>
      <c r="F67" s="295">
        <f t="shared" ref="F67:H67" si="11">F61+(F63*1000000/29487.1582406855)+(F64*1000000/25364.5039539246)</f>
        <v>38699.165588360775</v>
      </c>
      <c r="G67" s="295">
        <f t="shared" si="11"/>
        <v>38727.387752966773</v>
      </c>
      <c r="H67" s="295">
        <f t="shared" si="11"/>
        <v>38755.609917572772</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250308.85684681678</v>
      </c>
      <c r="D68" s="132"/>
      <c r="E68" s="132">
        <f>E11+E29+E43+E49+E67</f>
        <v>160753.46830145677</v>
      </c>
      <c r="F68" s="132">
        <f>F11+F29+F43+F49+F67</f>
        <v>164989.66373887894</v>
      </c>
      <c r="G68" s="132">
        <f>G11+G29+G43+G49+G67</f>
        <v>169896.17951613246</v>
      </c>
      <c r="H68" s="132">
        <f>H11+H29+H43+H49+H67</f>
        <v>175212.90713097097</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0</v>
      </c>
      <c r="C74" s="40">
        <f>'Biomass Data Assumptions'!B38*B74</f>
        <v>0</v>
      </c>
      <c r="D74" s="40">
        <f>(C74*'Biomass Data Assumptions'!C38)/2000</f>
        <v>0</v>
      </c>
      <c r="E74" s="41"/>
      <c r="F74" s="41"/>
      <c r="G74" s="41"/>
      <c r="H74" s="36"/>
      <c r="I74" s="36"/>
      <c r="J74" s="36"/>
      <c r="K74" s="36"/>
      <c r="L74" s="36"/>
      <c r="M74" s="36"/>
      <c r="N74" s="36"/>
      <c r="O74" s="36"/>
      <c r="P74" s="36"/>
      <c r="Q74" s="36"/>
      <c r="R74" s="36"/>
    </row>
    <row r="75" spans="1:19" x14ac:dyDescent="0.25">
      <c r="A75" s="39" t="s">
        <v>520</v>
      </c>
      <c r="B75" s="21">
        <v>0</v>
      </c>
      <c r="C75" s="40">
        <f>'Biomass Data Assumptions'!B39*B75</f>
        <v>0</v>
      </c>
      <c r="D75" s="40">
        <f>(C75*'Biomass Data Assumptions'!C39)/2000</f>
        <v>0</v>
      </c>
      <c r="E75" s="41"/>
      <c r="F75" s="41"/>
      <c r="G75" s="41"/>
      <c r="H75" s="36"/>
      <c r="I75" s="36"/>
      <c r="J75" s="36"/>
      <c r="K75" s="36"/>
      <c r="L75" s="36"/>
      <c r="M75" s="36"/>
      <c r="N75" s="36"/>
      <c r="O75" s="36"/>
      <c r="P75" s="36"/>
      <c r="Q75" s="36"/>
      <c r="R75" s="36"/>
    </row>
    <row r="76" spans="1:19" x14ac:dyDescent="0.25">
      <c r="A76" s="39" t="s">
        <v>521</v>
      </c>
      <c r="B76" s="21">
        <v>0</v>
      </c>
      <c r="C76" s="40">
        <f>'Biomass Data Assumptions'!B40*B76</f>
        <v>0</v>
      </c>
      <c r="D76" s="40">
        <f>(C76*'Biomass Data Assumptions'!C40)/2000</f>
        <v>0</v>
      </c>
      <c r="E76" s="41"/>
      <c r="F76" s="41"/>
      <c r="G76" s="41"/>
      <c r="H76" s="36"/>
      <c r="I76" s="36"/>
      <c r="J76" s="36"/>
      <c r="K76" s="36"/>
      <c r="L76" s="36"/>
      <c r="M76" s="36"/>
      <c r="N76" s="36"/>
      <c r="O76" s="36"/>
      <c r="P76" s="36"/>
      <c r="Q76" s="36"/>
      <c r="R76" s="36"/>
    </row>
    <row r="77" spans="1:19" x14ac:dyDescent="0.25">
      <c r="A77" s="39" t="s">
        <v>525</v>
      </c>
      <c r="B77" s="21">
        <v>0</v>
      </c>
      <c r="C77" s="40">
        <f>'Biomass Data Assumptions'!B41*B77</f>
        <v>0</v>
      </c>
      <c r="D77" s="40">
        <f>(C77*'Biomass Data Assumptions'!C41)/2000</f>
        <v>0</v>
      </c>
      <c r="E77" s="41"/>
      <c r="F77" s="41"/>
      <c r="G77" s="41"/>
      <c r="H77" s="36"/>
      <c r="I77" s="36"/>
      <c r="J77" s="36"/>
      <c r="K77" s="36"/>
      <c r="L77" s="36"/>
      <c r="M77" s="36"/>
      <c r="N77" s="36"/>
      <c r="O77" s="36"/>
      <c r="P77" s="36"/>
      <c r="Q77" s="36"/>
      <c r="R77" s="36"/>
    </row>
    <row r="78" spans="1:19" x14ac:dyDescent="0.25">
      <c r="A78" s="39" t="s">
        <v>522</v>
      </c>
      <c r="B78" s="21">
        <v>0</v>
      </c>
      <c r="C78" s="40">
        <f>'Biomass Data Assumptions'!B42*B78</f>
        <v>0</v>
      </c>
      <c r="D78" s="40">
        <f>(C78*'Biomass Data Assumptions'!C42)/2000</f>
        <v>0</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10</v>
      </c>
      <c r="C81" s="40">
        <f>'Biomass Data Assumptions'!B49*B81</f>
        <v>10</v>
      </c>
      <c r="D81" s="40">
        <f>C81*'Energy Content Assumptions'!C11</f>
        <v>8.5</v>
      </c>
      <c r="E81" s="41"/>
      <c r="F81" s="41"/>
      <c r="G81" s="41"/>
      <c r="H81" s="36"/>
      <c r="I81" s="36"/>
      <c r="J81" s="36"/>
      <c r="K81" s="36"/>
      <c r="L81" s="36"/>
      <c r="M81" s="36"/>
      <c r="N81" s="36"/>
      <c r="O81" s="36"/>
      <c r="P81" s="36"/>
      <c r="Q81" s="36"/>
      <c r="R81" s="36"/>
    </row>
    <row r="82" spans="1:18" x14ac:dyDescent="0.25">
      <c r="A82" s="39" t="s">
        <v>520</v>
      </c>
      <c r="B82" s="21">
        <v>0</v>
      </c>
      <c r="C82" s="40">
        <f>'Biomass Data Assumptions'!B50*B82</f>
        <v>0</v>
      </c>
      <c r="D82" s="40">
        <f>C82*'Energy Content Assumptions'!C12</f>
        <v>0</v>
      </c>
      <c r="E82" s="41"/>
      <c r="F82" s="41"/>
      <c r="G82" s="41"/>
      <c r="H82" s="36"/>
      <c r="I82" s="36"/>
      <c r="J82" s="36"/>
      <c r="K82" s="36"/>
      <c r="L82" s="36"/>
      <c r="M82" s="36"/>
      <c r="N82" s="36"/>
      <c r="O82" s="36"/>
      <c r="P82" s="36"/>
      <c r="Q82" s="36"/>
      <c r="R82" s="36"/>
    </row>
    <row r="83" spans="1:18" x14ac:dyDescent="0.25">
      <c r="A83" s="39" t="s">
        <v>521</v>
      </c>
      <c r="B83" s="21">
        <v>0</v>
      </c>
      <c r="C83" s="40">
        <f>'Biomass Data Assumptions'!B51*B83</f>
        <v>0</v>
      </c>
      <c r="D83" s="40">
        <f>C83*'Energy Content Assumptions'!C13</f>
        <v>0</v>
      </c>
      <c r="E83" s="41"/>
      <c r="F83" s="41"/>
      <c r="G83" s="41"/>
      <c r="H83" s="36"/>
      <c r="I83" s="36"/>
      <c r="J83" s="36"/>
      <c r="K83" s="36"/>
      <c r="L83" s="36"/>
      <c r="M83" s="36"/>
      <c r="N83" s="36"/>
      <c r="O83" s="36"/>
      <c r="P83" s="36"/>
      <c r="Q83" s="36"/>
      <c r="R83" s="36"/>
    </row>
    <row r="84" spans="1:18" x14ac:dyDescent="0.25">
      <c r="A84" s="39" t="s">
        <v>528</v>
      </c>
      <c r="B84" s="21">
        <v>0</v>
      </c>
      <c r="C84" s="40">
        <f>'Biomass Data Assumptions'!B52*B84</f>
        <v>0</v>
      </c>
      <c r="D84" s="40">
        <f>C84*'Energy Content Assumptions'!C14</f>
        <v>0</v>
      </c>
      <c r="E84" s="41"/>
      <c r="F84" s="41"/>
      <c r="G84" s="41"/>
      <c r="H84" s="36"/>
      <c r="I84" s="36"/>
      <c r="J84" s="36"/>
      <c r="K84" s="36"/>
      <c r="L84" s="36"/>
      <c r="M84" s="36"/>
      <c r="N84" s="36"/>
      <c r="O84" s="36"/>
      <c r="P84" s="36"/>
      <c r="Q84" s="36"/>
      <c r="R84" s="36"/>
    </row>
    <row r="85" spans="1:18" x14ac:dyDescent="0.25">
      <c r="A85" s="39" t="s">
        <v>529</v>
      </c>
      <c r="B85" s="21">
        <v>0</v>
      </c>
      <c r="C85" s="40">
        <f>'Biomass Data Assumptions'!B53*B85</f>
        <v>0</v>
      </c>
      <c r="D85" s="40">
        <f>C85*'Energy Content Assumptions'!C15</f>
        <v>0</v>
      </c>
      <c r="E85" s="41"/>
      <c r="F85" s="41"/>
      <c r="G85" s="41"/>
      <c r="H85" s="36"/>
      <c r="I85" s="36"/>
      <c r="J85" s="36"/>
      <c r="K85" s="36"/>
      <c r="L85" s="36"/>
      <c r="M85" s="36"/>
      <c r="N85" s="36"/>
      <c r="O85" s="36"/>
      <c r="P85" s="36"/>
      <c r="Q85" s="36"/>
      <c r="R85" s="36"/>
    </row>
    <row r="86" spans="1:18" x14ac:dyDescent="0.25">
      <c r="A86" s="39" t="s">
        <v>530</v>
      </c>
      <c r="B86" s="21">
        <v>0</v>
      </c>
      <c r="C86" s="40">
        <f>'Biomass Data Assumptions'!B54*B86</f>
        <v>0</v>
      </c>
      <c r="D86" s="40">
        <f>C86*'Energy Content Assumptions'!C16</f>
        <v>0</v>
      </c>
      <c r="E86" s="41"/>
      <c r="F86" s="41"/>
      <c r="G86" s="41"/>
      <c r="H86" s="36"/>
      <c r="I86" s="36"/>
      <c r="J86" s="36"/>
      <c r="K86" s="36"/>
      <c r="L86" s="36"/>
      <c r="M86" s="36"/>
      <c r="N86" s="36"/>
      <c r="O86" s="36"/>
      <c r="P86" s="36"/>
      <c r="Q86" s="36"/>
      <c r="R86" s="36"/>
    </row>
    <row r="87" spans="1:18" x14ac:dyDescent="0.25">
      <c r="A87" s="39" t="s">
        <v>522</v>
      </c>
      <c r="B87" s="21">
        <v>0</v>
      </c>
      <c r="C87" s="40">
        <f>'Biomass Data Assumptions'!B55*B87</f>
        <v>0</v>
      </c>
      <c r="D87" s="40">
        <f>C87*'Energy Content Assumptions'!C17</f>
        <v>0</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t="0.75" customHeight="1" x14ac:dyDescent="0.25">
      <c r="A94" s="43"/>
      <c r="B94" s="36"/>
      <c r="C94" s="41"/>
      <c r="D94" s="41"/>
      <c r="E94" s="44"/>
      <c r="F94" s="36"/>
      <c r="G94" s="36"/>
      <c r="H94" s="36"/>
      <c r="I94" s="36"/>
      <c r="J94" s="44"/>
      <c r="K94" s="44"/>
      <c r="L94" s="44"/>
      <c r="M94" s="44"/>
      <c r="N94" s="36"/>
      <c r="O94" s="36"/>
      <c r="P94" s="36"/>
      <c r="Q94" s="36"/>
      <c r="R94" s="36"/>
    </row>
    <row r="95" spans="1:18" hidden="1" x14ac:dyDescent="0.25">
      <c r="A95" s="456"/>
      <c r="B95" s="458"/>
      <c r="C95" s="458"/>
      <c r="D95" s="41"/>
      <c r="E95" s="41"/>
      <c r="F95" s="41"/>
      <c r="G95" s="41"/>
      <c r="H95" s="36"/>
      <c r="I95" s="36"/>
      <c r="J95" s="41"/>
      <c r="K95" s="41"/>
      <c r="L95" s="41"/>
      <c r="M95" s="41"/>
      <c r="N95" s="36"/>
      <c r="O95" s="36"/>
      <c r="P95" s="36"/>
      <c r="Q95" s="36"/>
      <c r="R95" s="36"/>
    </row>
    <row r="96" spans="1:18" hidden="1" x14ac:dyDescent="0.25">
      <c r="A96" s="456"/>
      <c r="B96" s="458"/>
      <c r="C96" s="458"/>
      <c r="D96" s="41"/>
      <c r="E96" s="41"/>
      <c r="F96" s="41"/>
      <c r="G96" s="41"/>
      <c r="H96" s="36"/>
      <c r="I96" s="36"/>
      <c r="J96" s="41"/>
      <c r="K96" s="41"/>
      <c r="L96" s="41"/>
      <c r="M96" s="41"/>
      <c r="N96" s="36"/>
      <c r="O96" s="36"/>
      <c r="P96" s="36"/>
      <c r="Q96" s="36"/>
      <c r="R96" s="36"/>
    </row>
    <row r="97" spans="1:18" x14ac:dyDescent="0.25">
      <c r="A97" s="467" t="s">
        <v>535</v>
      </c>
      <c r="B97" s="85">
        <v>0</v>
      </c>
      <c r="C97" s="41">
        <f>ROUND('Biomass Data Assumptions'!$B$60/1000*B97,0)</f>
        <v>0</v>
      </c>
      <c r="D97" s="41">
        <f>'Biomass Data Assumptions'!$C$60*C97</f>
        <v>0</v>
      </c>
      <c r="E97" s="41">
        <f>('Biomass Data Assumptions'!$D$60*'Energy Content Assumptions'!$C$44*D97)/2000</f>
        <v>0</v>
      </c>
      <c r="F97" s="41">
        <f>('Biomass Data Assumptions'!$E$60*B97*365)/2000</f>
        <v>0</v>
      </c>
      <c r="G97" s="41">
        <f>F97+E97</f>
        <v>0</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0</v>
      </c>
      <c r="C100" s="41">
        <f>ROUND('Biomass Data Assumptions'!B62/1000*B100,0)</f>
        <v>0</v>
      </c>
      <c r="D100" s="41">
        <f>'Biomass Data Assumptions'!C62*C100</f>
        <v>0</v>
      </c>
      <c r="E100" s="41">
        <f>('Biomass Data Assumptions'!D62*'Energy Content Assumptions'!C46*D100)/2000</f>
        <v>0</v>
      </c>
      <c r="F100" s="41">
        <f>('Biomass Data Assumptions'!E62*B100*365)/2000</f>
        <v>0</v>
      </c>
      <c r="G100" s="41">
        <f>F100+E100</f>
        <v>0</v>
      </c>
      <c r="H100" s="36"/>
      <c r="I100" s="36"/>
      <c r="J100" s="41"/>
      <c r="K100" s="41"/>
      <c r="L100" s="41"/>
      <c r="M100" s="41"/>
      <c r="N100" s="36"/>
      <c r="O100" s="36"/>
      <c r="P100" s="36"/>
      <c r="Q100" s="36"/>
      <c r="R100" s="36"/>
    </row>
    <row r="101" spans="1:18" ht="2.25" hidden="1" customHeight="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0</v>
      </c>
      <c r="C102" s="41">
        <f>ROUND('Biomass Data Assumptions'!B64/1000*B102,0)</f>
        <v>0</v>
      </c>
      <c r="D102" s="41">
        <f>'Biomass Data Assumptions'!C64*C102</f>
        <v>0</v>
      </c>
      <c r="E102" s="41">
        <f>('Biomass Data Assumptions'!D64*'Energy Content Assumptions'!C48*D102)/2000</f>
        <v>0</v>
      </c>
      <c r="F102" s="41">
        <f>'Biomass Data Assumptions'!E64*B102*365/2000</f>
        <v>0</v>
      </c>
      <c r="G102" s="41">
        <f>F102+E102</f>
        <v>0</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v>0</v>
      </c>
      <c r="C104" s="41">
        <f>SUM(C100:C103)</f>
        <v>0</v>
      </c>
      <c r="D104" s="41">
        <f>SUM(D100:D103)</f>
        <v>0</v>
      </c>
      <c r="E104" s="41">
        <f>SUM(E100:E103)</f>
        <v>0</v>
      </c>
      <c r="F104" s="41">
        <f>SUM(F100:F103)</f>
        <v>0</v>
      </c>
      <c r="G104" s="41">
        <f>SUM(G100:G103)</f>
        <v>0</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32</v>
      </c>
      <c r="C106" s="41">
        <f>ROUND('Biomass Data Assumptions'!B66/1000*B106,0)</f>
        <v>32</v>
      </c>
      <c r="D106" s="41">
        <f>'Biomass Data Assumptions'!C66*C106</f>
        <v>648240</v>
      </c>
      <c r="E106" s="41">
        <f>('Biomass Data Assumptions'!D66*'Energy Content Assumptions'!C50*D106)/2000</f>
        <v>22.688400000000001</v>
      </c>
      <c r="F106" s="41">
        <f>'Biomass Data Assumptions'!E66*B106*365/2000</f>
        <v>87.6</v>
      </c>
      <c r="G106" s="41">
        <f>F106+E106</f>
        <v>110.2884</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0</v>
      </c>
      <c r="C108" s="41">
        <f>ROUND('Biomass Data Assumptions'!B67/1000*B108,0)</f>
        <v>0</v>
      </c>
      <c r="D108" s="41">
        <f>'Biomass Data Assumptions'!C67*C108</f>
        <v>0</v>
      </c>
      <c r="E108" s="41">
        <f>('Biomass Data Assumptions'!D67*'Energy Content Assumptions'!C51*D108)/2000</f>
        <v>0</v>
      </c>
      <c r="F108" s="41">
        <f>'Biomass Data Assumptions'!E67*B108*365/2000</f>
        <v>0</v>
      </c>
      <c r="G108" s="41">
        <f>F108+E108</f>
        <v>0</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3</v>
      </c>
      <c r="C110" s="41">
        <f>ROUND('Biomass Data Assumptions'!B68/1000*B110,0)</f>
        <v>0</v>
      </c>
      <c r="D110" s="41">
        <f>'Biomass Data Assumptions'!C68*C110</f>
        <v>0</v>
      </c>
      <c r="E110" s="41">
        <f>('Biomass Data Assumptions'!D68*'Energy Content Assumptions'!C52*D110)/2000</f>
        <v>0</v>
      </c>
      <c r="F110" s="41">
        <f>'Biomass Data Assumptions'!E68*B110*365/2000</f>
        <v>0.54749999999999999</v>
      </c>
      <c r="G110" s="41">
        <f>F110+E110</f>
        <v>0.54749999999999999</v>
      </c>
      <c r="H110" s="36"/>
      <c r="I110" s="36"/>
      <c r="J110" s="41"/>
      <c r="K110" s="41"/>
      <c r="L110" s="41"/>
      <c r="M110" s="41"/>
      <c r="N110" s="36"/>
      <c r="O110" s="36"/>
      <c r="P110" s="36"/>
      <c r="Q110" s="36"/>
      <c r="R110" s="36"/>
    </row>
    <row r="111" spans="1:18" ht="11.25" customHeight="1"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6"/>
      <c r="B113" s="458"/>
      <c r="C113" s="458"/>
      <c r="D113" s="458"/>
      <c r="E113" s="458"/>
      <c r="F113" s="458"/>
      <c r="G113" s="458"/>
      <c r="H113" s="36"/>
      <c r="I113" s="36"/>
      <c r="J113" s="41"/>
      <c r="K113" s="41"/>
      <c r="L113" s="41"/>
      <c r="M113" s="41"/>
      <c r="N113" s="36"/>
      <c r="O113" s="36"/>
      <c r="P113" s="36"/>
      <c r="Q113" s="36"/>
      <c r="R113" s="36"/>
    </row>
    <row r="114" spans="1:18" hidden="1" x14ac:dyDescent="0.25">
      <c r="A114" s="456"/>
      <c r="B114" s="458"/>
      <c r="C114" s="458"/>
      <c r="D114" s="458"/>
      <c r="E114" s="458"/>
      <c r="F114" s="458"/>
      <c r="G114" s="458"/>
      <c r="H114" s="36"/>
      <c r="I114" s="36"/>
      <c r="J114" s="41"/>
      <c r="K114" s="41"/>
      <c r="L114" s="41"/>
      <c r="M114" s="41"/>
      <c r="N114" s="36"/>
      <c r="O114" s="36"/>
      <c r="P114" s="36"/>
      <c r="Q114" s="36"/>
      <c r="R114" s="36"/>
    </row>
    <row r="115" spans="1:18" x14ac:dyDescent="0.25">
      <c r="A115" s="467" t="s">
        <v>605</v>
      </c>
      <c r="B115" s="85">
        <v>0</v>
      </c>
      <c r="C115" s="41">
        <f>ROUND('Biomass Data Assumptions'!$B$71/1000*B115,0)</f>
        <v>0</v>
      </c>
      <c r="D115" s="41">
        <f>'Biomass Data Assumptions'!$C$71*C115</f>
        <v>0</v>
      </c>
      <c r="E115" s="41">
        <f>('Biomass Data Assumptions'!$D$71*'Energy Content Assumptions'!$C$55*D115)/2000</f>
        <v>0</v>
      </c>
      <c r="F115" s="41">
        <f>'Biomass Data Assumptions'!$E$71*B115*365/2000</f>
        <v>0</v>
      </c>
      <c r="G115" s="41">
        <f>F115+E115</f>
        <v>0</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2+25+80</f>
        <v>107</v>
      </c>
      <c r="C117" s="41">
        <f>ROUND('Biomass Data Assumptions'!B72/1000*B117,0)</f>
        <v>1</v>
      </c>
      <c r="D117" s="41">
        <f>'Biomass Data Assumptions'!C72*C117</f>
        <v>18250</v>
      </c>
      <c r="E117" s="41">
        <f>('Biomass Data Assumptions'!D72*'Energy Content Assumptions'!C56*D117)/2000</f>
        <v>1.7793749999999999</v>
      </c>
      <c r="F117" s="41">
        <f>'Biomass Data Assumptions'!E72*B117*365/2000</f>
        <v>0</v>
      </c>
      <c r="G117" s="41">
        <f>F117+E117</f>
        <v>1.7793749999999999</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0</v>
      </c>
      <c r="C119" s="41">
        <f>ROUND('Biomass Data Assumptions'!B73/1000*B119,0)</f>
        <v>0</v>
      </c>
      <c r="D119" s="41">
        <f>'Biomass Data Assumptions'!C73*C119</f>
        <v>0</v>
      </c>
      <c r="E119" s="41">
        <f>('Biomass Data Assumptions'!D73*'Energy Content Assumptions'!C57*D119)/2000</f>
        <v>0</v>
      </c>
      <c r="F119" s="41">
        <f>'Biomass Data Assumptions'!E73*B119*365/2000</f>
        <v>0</v>
      </c>
      <c r="G119" s="41">
        <f>F119+E119</f>
        <v>0</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142</v>
      </c>
      <c r="C121" s="48">
        <f t="shared" si="14"/>
        <v>33</v>
      </c>
      <c r="D121" s="48">
        <f t="shared" si="14"/>
        <v>666490</v>
      </c>
      <c r="E121" s="48">
        <f t="shared" si="14"/>
        <v>24.467775000000003</v>
      </c>
      <c r="F121" s="48">
        <f t="shared" si="14"/>
        <v>88.147499999999994</v>
      </c>
      <c r="G121" s="48">
        <f t="shared" si="14"/>
        <v>112.615275</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47905.21</v>
      </c>
      <c r="C124" s="543">
        <f>B124*'Energy Content Assumptions'!C33</f>
        <v>43114.688999999998</v>
      </c>
      <c r="D124" s="36"/>
      <c r="E124" s="36"/>
      <c r="F124" s="36"/>
      <c r="G124" s="36"/>
      <c r="H124" s="36"/>
      <c r="I124" s="36"/>
      <c r="J124" s="36"/>
      <c r="K124" s="36"/>
      <c r="L124" s="36"/>
      <c r="M124" s="36"/>
      <c r="N124" s="36"/>
      <c r="O124" s="36"/>
      <c r="P124" s="36"/>
      <c r="Q124" s="36"/>
      <c r="R124" s="36"/>
    </row>
    <row r="125" spans="1:18" x14ac:dyDescent="0.25">
      <c r="A125" s="50" t="s">
        <v>556</v>
      </c>
      <c r="B125" s="87">
        <v>15853.85</v>
      </c>
      <c r="C125" s="543">
        <f>B125*'Energy Content Assumptions'!C34</f>
        <v>14268.465</v>
      </c>
      <c r="D125" s="36"/>
      <c r="E125" s="36"/>
      <c r="F125" s="36"/>
      <c r="G125" s="36"/>
      <c r="H125" s="36"/>
      <c r="I125" s="36"/>
      <c r="J125" s="36"/>
      <c r="K125" s="36"/>
      <c r="L125" s="36"/>
      <c r="M125" s="36"/>
      <c r="N125" s="36"/>
      <c r="O125" s="36"/>
      <c r="P125" s="36"/>
      <c r="Q125" s="36"/>
      <c r="R125" s="36"/>
    </row>
    <row r="126" spans="1:18" x14ac:dyDescent="0.25">
      <c r="A126" s="50" t="s">
        <v>557</v>
      </c>
      <c r="B126" s="87">
        <v>13503.24</v>
      </c>
      <c r="C126" s="543">
        <f>B126*'Energy Content Assumptions'!C35</f>
        <v>12152.915999999999</v>
      </c>
      <c r="D126" s="36"/>
      <c r="E126" s="36"/>
      <c r="F126" s="36"/>
      <c r="G126" s="36"/>
      <c r="H126" s="36"/>
      <c r="I126" s="36"/>
      <c r="J126" s="36"/>
      <c r="K126" s="36"/>
      <c r="L126" s="36"/>
      <c r="M126" s="36"/>
      <c r="N126" s="36"/>
      <c r="O126" s="36"/>
      <c r="P126" s="36"/>
      <c r="Q126" s="36"/>
      <c r="R126" s="36"/>
    </row>
    <row r="127" spans="1:18" x14ac:dyDescent="0.25">
      <c r="A127" s="50" t="s">
        <v>558</v>
      </c>
      <c r="B127" s="87">
        <v>5792.78</v>
      </c>
      <c r="C127" s="543">
        <f>B127*'Energy Content Assumptions'!C36</f>
        <v>5213.5019999999995</v>
      </c>
      <c r="D127" s="36"/>
      <c r="E127" s="36"/>
      <c r="F127" s="36"/>
      <c r="G127" s="36"/>
      <c r="H127" s="36"/>
      <c r="I127" s="36"/>
      <c r="J127" s="36"/>
      <c r="K127" s="36"/>
      <c r="L127" s="36"/>
      <c r="M127" s="36"/>
      <c r="N127" s="36"/>
      <c r="O127" s="36"/>
      <c r="P127" s="36"/>
      <c r="Q127" s="36"/>
      <c r="R127" s="36"/>
    </row>
    <row r="128" spans="1:18" x14ac:dyDescent="0.25">
      <c r="A128" s="50" t="s">
        <v>559</v>
      </c>
      <c r="B128" s="549">
        <v>29461.63</v>
      </c>
      <c r="C128" s="543">
        <f>B128*'Energy Content Assumptions'!C21</f>
        <v>14730.815000000001</v>
      </c>
      <c r="D128" s="36"/>
      <c r="E128" s="36"/>
      <c r="F128" s="36"/>
      <c r="G128" s="36"/>
      <c r="H128" s="36"/>
      <c r="I128" s="36"/>
      <c r="J128" s="36"/>
      <c r="K128" s="36"/>
      <c r="L128" s="36"/>
      <c r="M128" s="36"/>
      <c r="N128" s="36"/>
      <c r="O128" s="36"/>
      <c r="P128" s="36"/>
      <c r="Q128" s="36"/>
      <c r="R128" s="36"/>
    </row>
    <row r="129" spans="1:18" x14ac:dyDescent="0.25">
      <c r="A129" s="50" t="s">
        <v>560</v>
      </c>
      <c r="B129" s="87">
        <v>3406.58</v>
      </c>
      <c r="C129" s="543">
        <f>B129*'Energy Content Assumptions'!C22</f>
        <v>1135.5266666666666</v>
      </c>
      <c r="D129" s="36"/>
      <c r="E129" s="36"/>
      <c r="F129" s="36"/>
      <c r="G129" s="36"/>
      <c r="H129" s="36"/>
      <c r="I129" s="36"/>
      <c r="J129" s="36"/>
      <c r="K129" s="36"/>
      <c r="L129" s="36"/>
      <c r="M129" s="36"/>
      <c r="N129" s="36"/>
      <c r="O129" s="36"/>
      <c r="P129" s="36"/>
      <c r="Q129" s="36"/>
      <c r="R129" s="36"/>
    </row>
    <row r="130" spans="1:18" x14ac:dyDescent="0.25">
      <c r="A130" s="50" t="s">
        <v>561</v>
      </c>
      <c r="B130" s="87">
        <v>70932.52</v>
      </c>
      <c r="C130" s="543">
        <f>B130*'Energy Content Assumptions'!C23</f>
        <v>23644.173333333332</v>
      </c>
      <c r="D130" s="36"/>
      <c r="E130" s="36"/>
      <c r="F130" s="36"/>
      <c r="G130" s="36"/>
      <c r="H130" s="36"/>
      <c r="I130" s="36"/>
      <c r="J130" s="36"/>
      <c r="K130" s="36"/>
      <c r="L130" s="36"/>
      <c r="M130" s="36"/>
      <c r="N130" s="36"/>
      <c r="O130" s="36"/>
      <c r="P130" s="36"/>
      <c r="Q130" s="36"/>
      <c r="R130" s="36"/>
    </row>
    <row r="131" spans="1:18" x14ac:dyDescent="0.25">
      <c r="A131" s="50" t="s">
        <v>562</v>
      </c>
      <c r="B131" s="87">
        <v>1108.32</v>
      </c>
      <c r="C131" s="543">
        <f>B131*'Energy Content Assumptions'!C24</f>
        <v>554.16</v>
      </c>
      <c r="D131" s="36"/>
      <c r="E131" s="36"/>
      <c r="F131" s="36"/>
      <c r="G131" s="36"/>
      <c r="H131" s="36"/>
      <c r="I131" s="36"/>
      <c r="J131" s="36"/>
      <c r="K131" s="36"/>
      <c r="L131" s="36"/>
      <c r="M131" s="36"/>
      <c r="N131" s="36"/>
      <c r="O131" s="36"/>
      <c r="P131" s="36"/>
      <c r="Q131" s="36"/>
      <c r="R131" s="36"/>
    </row>
    <row r="132" spans="1:18" x14ac:dyDescent="0.25">
      <c r="A132" s="50" t="s">
        <v>563</v>
      </c>
      <c r="B132" s="87">
        <v>131689.69</v>
      </c>
      <c r="C132" s="543">
        <f>B132*'Energy Content Assumptions'!C31</f>
        <v>32922.422500000001</v>
      </c>
      <c r="D132" s="36"/>
      <c r="E132" s="36"/>
      <c r="F132" s="36"/>
      <c r="G132" s="36"/>
      <c r="H132" s="36"/>
      <c r="I132" s="36"/>
      <c r="J132" s="36"/>
      <c r="K132" s="36"/>
      <c r="L132" s="36"/>
      <c r="M132" s="36"/>
      <c r="N132" s="36"/>
      <c r="O132" s="36"/>
      <c r="P132" s="36"/>
      <c r="Q132" s="36"/>
      <c r="R132" s="36"/>
    </row>
    <row r="133" spans="1:18" x14ac:dyDescent="0.25">
      <c r="A133" s="50" t="s">
        <v>564</v>
      </c>
      <c r="B133" s="87">
        <v>586.22</v>
      </c>
      <c r="C133" s="543">
        <f>B133*'Energy Content Assumptions'!C19</f>
        <v>527.59800000000007</v>
      </c>
      <c r="D133" s="36"/>
      <c r="E133" s="36"/>
      <c r="F133" s="36"/>
      <c r="G133" s="36"/>
      <c r="H133" s="36"/>
      <c r="I133" s="36"/>
      <c r="J133" s="36"/>
      <c r="K133" s="36"/>
      <c r="L133" s="36"/>
      <c r="M133" s="36"/>
      <c r="N133" s="36"/>
      <c r="O133" s="36"/>
      <c r="P133" s="36"/>
      <c r="Q133" s="36"/>
      <c r="R133" s="36"/>
    </row>
    <row r="134" spans="1:18" x14ac:dyDescent="0.25">
      <c r="A134" s="50" t="s">
        <v>565</v>
      </c>
      <c r="B134" s="87">
        <v>5696.71</v>
      </c>
      <c r="C134" s="543">
        <f>B134*'Energy Content Assumptions'!C32</f>
        <v>4557.3680000000004</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Assumptions'!$M$13</f>
        <v>824484.81</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Assumptions'!$F$13</f>
        <v>454117.61</v>
      </c>
      <c r="C138" s="543">
        <f>B138*'Energy Content Assumptions'!$C$28</f>
        <v>227058.80499999999</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Assumptions'!$H$13</f>
        <v>352844.7</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Assumptions'!$I$13</f>
        <v>101272.90999999997</v>
      </c>
      <c r="C140" s="543">
        <f>B140*'Energy Content Assumptions'!$C$28</f>
        <v>50636.454999999987</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Assumptions'!J13,'Biomass Data Assumptions'!F13*'Biomass Data Assumptions'!I41)</f>
        <v>16021.374361999997</v>
      </c>
      <c r="C141" s="543">
        <f>B141*'Energy Content Assumptions'!C26</f>
        <v>4806.4123085999991</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Assumptions'!K13,'Biomass Data Assumptions'!F13*'Biomass Data Assumptions'!I42)</f>
        <v>19697.580994999997</v>
      </c>
      <c r="C142" s="543">
        <f>B142*'Energy Content Assumptions'!C27</f>
        <v>17727.822895499998</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Assumptions'!L13,'Biomass Data Assumptions'!F13*'Biomass Data Assumptions'!I43)</f>
        <v>27272.79466299999</v>
      </c>
      <c r="C143" s="543">
        <f>B143*'Energy Content Assumptions'!$C$28</f>
        <v>13636.397331499995</v>
      </c>
      <c r="D143" s="547" t="s">
        <v>1064</v>
      </c>
      <c r="E143" s="36"/>
      <c r="F143" s="36"/>
      <c r="G143" s="36"/>
      <c r="H143" s="36"/>
      <c r="I143" s="36"/>
      <c r="J143" s="36"/>
      <c r="K143" s="36"/>
      <c r="L143" s="36"/>
      <c r="M143" s="36"/>
      <c r="N143" s="36"/>
      <c r="O143" s="36"/>
      <c r="P143" s="36"/>
      <c r="Q143" s="36"/>
      <c r="R143" s="36"/>
    </row>
    <row r="144" spans="1:18" x14ac:dyDescent="0.25">
      <c r="A144" s="50" t="s">
        <v>463</v>
      </c>
      <c r="B144" s="87">
        <v>60260.75</v>
      </c>
      <c r="C144" s="543">
        <f>B144*'Energy Content Assumptions'!C29</f>
        <v>48208.600000000006</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19283.440000000002</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Assumptions'!R13/2000</f>
        <v>3449.4636</v>
      </c>
      <c r="C148" s="1239">
        <f>B148*'Energy Content Assumptions'!C39</f>
        <v>2932.0440600000002</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Assumptions'!S13/2000</f>
        <v>5240.8327650000001</v>
      </c>
      <c r="C149" s="1239">
        <f>B149*'Energy Content Assumptions'!C40</f>
        <v>262.04163825000001</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S199"/>
  <sheetViews>
    <sheetView topLeftCell="A118" zoomScaleNormal="10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444</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643.59679999999992</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569.47799999999995</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10213</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6846.12</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18272.194800000001</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397.8</v>
      </c>
      <c r="D15" s="294">
        <f>E15*'Conversion Tables'!C14</f>
        <v>5006.5516799999996</v>
      </c>
      <c r="E15" s="294">
        <f>C15*'Prac. Rec. Assumptions'!B11</f>
        <v>318.24</v>
      </c>
      <c r="F15" s="294">
        <f>$E15</f>
        <v>318.24</v>
      </c>
      <c r="G15" s="294">
        <f>$E15</f>
        <v>318.24</v>
      </c>
      <c r="H15" s="294">
        <f>$E15</f>
        <v>318.24</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2032.9875</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6200.75</v>
      </c>
      <c r="D17" s="294">
        <f>E17*'Conversion Tables'!C16</f>
        <v>82917.669149999987</v>
      </c>
      <c r="E17" s="294">
        <f>C17*'Prac. Rec. Assumptions'!B13</f>
        <v>5270.6374999999998</v>
      </c>
      <c r="F17" s="294">
        <f t="shared" si="2"/>
        <v>5270.6374999999998</v>
      </c>
      <c r="G17" s="294">
        <f t="shared" si="2"/>
        <v>5270.6374999999998</v>
      </c>
      <c r="H17" s="294">
        <f t="shared" si="2"/>
        <v>5270.6374999999998</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4603.4799999999996</v>
      </c>
      <c r="D18" s="294">
        <f>E18*'Conversion Tables'!C17</f>
        <v>54316.460519999993</v>
      </c>
      <c r="E18" s="294">
        <f>C18*'Prac. Rec. Assumptions'!B14</f>
        <v>3452.6099999999997</v>
      </c>
      <c r="F18" s="294">
        <f t="shared" si="2"/>
        <v>3452.6099999999997</v>
      </c>
      <c r="G18" s="294">
        <f t="shared" si="2"/>
        <v>3452.6099999999997</v>
      </c>
      <c r="H18" s="294">
        <f t="shared" si="2"/>
        <v>3452.6099999999997</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4760</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4254.08</v>
      </c>
      <c r="D20" s="294">
        <f>E20*'Conversion Tables'!C19</f>
        <v>33181.824000000001</v>
      </c>
      <c r="E20" s="294">
        <f>C20*'Prac. Rec. Assumptions'!B16</f>
        <v>2127.04</v>
      </c>
      <c r="F20" s="294">
        <f t="shared" si="2"/>
        <v>2127.04</v>
      </c>
      <c r="G20" s="294">
        <f t="shared" si="2"/>
        <v>2127.04</v>
      </c>
      <c r="H20" s="294">
        <f t="shared" si="2"/>
        <v>2127.04</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6290.6374999999998</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Assumptions'!P14*1000*'Energy Content Assumptions'!C18</f>
        <v>14686.5</v>
      </c>
      <c r="D22" s="294">
        <f>E22*'Conversion Tables'!C21</f>
        <v>114554.7</v>
      </c>
      <c r="E22" s="294">
        <f>C22*'Prac. Rec. Assumptions'!B18</f>
        <v>7343.25</v>
      </c>
      <c r="F22" s="294">
        <f t="shared" si="2"/>
        <v>7343.25</v>
      </c>
      <c r="G22" s="294">
        <f t="shared" si="2"/>
        <v>7343.25</v>
      </c>
      <c r="H22" s="294">
        <f t="shared" si="2"/>
        <v>7343.25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3845.91</v>
      </c>
      <c r="D23" s="294">
        <f>E23*'Conversion Tables'!C22</f>
        <v>62826.785759999992</v>
      </c>
      <c r="E23" s="294">
        <f>C23*'Prac. Rec. Assumptions'!B19</f>
        <v>3845.91</v>
      </c>
      <c r="F23" s="297">
        <f t="shared" si="2"/>
        <v>3845.91</v>
      </c>
      <c r="G23" s="297">
        <f t="shared" si="2"/>
        <v>3845.91</v>
      </c>
      <c r="H23" s="297">
        <f t="shared" si="2"/>
        <v>3845.91</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16932.07</v>
      </c>
      <c r="D25" s="294">
        <f>E25*'Conversion Tables'!C24</f>
        <v>299697.63899999997</v>
      </c>
      <c r="E25" s="294">
        <f>C25*'Prac. Rec. Assumptions'!B21</f>
        <v>16932.07</v>
      </c>
      <c r="F25" s="294">
        <f>($C25*(1+'Biomass Data Assumptions'!G$99))*'Prac. Rec. Assumptions'!$B21</f>
        <v>17731.085100624568</v>
      </c>
      <c r="G25" s="294">
        <f>($C25*(1+'Biomass Data Assumptions'!H$99))*'Prac. Rec. Assumptions'!$B21</f>
        <v>18594.726422623178</v>
      </c>
      <c r="H25" s="294">
        <f>($C25*(1+'Biomass Data Assumptions'!I$99))*'Prac. Rec. Assumptions'!$B21</f>
        <v>19487.743299791808</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5752.123333333333</v>
      </c>
      <c r="D26" s="294">
        <f>E26*'Conversion Tables'!C25</f>
        <v>89733.123999999996</v>
      </c>
      <c r="E26" s="294">
        <f>C26*'Prac. Rec. Assumptions'!B22</f>
        <v>5752.123333333333</v>
      </c>
      <c r="F26" s="294">
        <f>($C26*(1+'Biomass Data Assumptions'!G$99))*'Prac. Rec. Assumptions'!$B22</f>
        <v>6023.562879944483</v>
      </c>
      <c r="G26" s="294">
        <f>($C26*(1+'Biomass Data Assumptions'!H$99))*'Prac. Rec. Assumptions'!$B22</f>
        <v>6316.9570957668275</v>
      </c>
      <c r="H26" s="294">
        <f>($C26*(1+'Biomass Data Assumptions'!I$99))*'Prac. Rec. Assumptions'!$B22</f>
        <v>6620.3307066851712</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11536.863333333331</v>
      </c>
      <c r="D27" s="294">
        <f>E27*'Conversion Tables'!C26</f>
        <v>179975.06799999997</v>
      </c>
      <c r="E27" s="294">
        <f>C27*'Prac. Rec. Assumptions'!B23</f>
        <v>11536.863333333331</v>
      </c>
      <c r="F27" s="294">
        <f>($C27*(1+'Biomass Data Assumptions'!G$99))*'Prac. Rec. Assumptions'!$B23</f>
        <v>12081.281589174183</v>
      </c>
      <c r="G27" s="294">
        <f>($C27*(1+'Biomass Data Assumptions'!H$99))*'Prac. Rec. Assumptions'!$B23</f>
        <v>12669.733674531572</v>
      </c>
      <c r="H27" s="294">
        <f>($C27*(1+'Biomass Data Assumptions'!I$99))*'Prac. Rec. Assumptions'!$B23</f>
        <v>13278.201136941934</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513.64499999999998</v>
      </c>
      <c r="D28" s="294">
        <f>E28*'Conversion Tables'!C27</f>
        <v>9091.5164999999997</v>
      </c>
      <c r="E28" s="294">
        <f>C28*'Prac. Rec. Assumptions'!B24</f>
        <v>513.64499999999998</v>
      </c>
      <c r="F28" s="294">
        <f>($C28*(1+'Biomass Data Assumptions'!G$99))*'Prac. Rec. Assumptions'!$B24</f>
        <v>537.88362595419846</v>
      </c>
      <c r="G28" s="294">
        <f>($C28*(1+'Biomass Data Assumptions'!H$99))*'Prac. Rec. Assumptions'!$B24</f>
        <v>564.08272900763347</v>
      </c>
      <c r="H28" s="294">
        <f>($C28*(1+'Biomass Data Assumptions'!I$99))*'Prac. Rec. Assumptions'!$B24</f>
        <v>591.17295801526711</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81806.846666666665</v>
      </c>
      <c r="D29" s="295">
        <f>SUM(D13:D28)</f>
        <v>931301.33860999986</v>
      </c>
      <c r="E29" s="295">
        <f t="shared" si="3"/>
        <v>57092.389166666653</v>
      </c>
      <c r="F29" s="295">
        <f>SUM(F13:F28)</f>
        <v>58731.500695697432</v>
      </c>
      <c r="G29" s="295">
        <f>SUM(G13:G28)</f>
        <v>60503.187421929208</v>
      </c>
      <c r="H29" s="295">
        <f>SUM(H13:H28)</f>
        <v>62335.13560143418</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1204.4949336000002</v>
      </c>
      <c r="D32" s="294">
        <f>E32*'Conversion Tables'!C29</f>
        <v>11563.151362560004</v>
      </c>
      <c r="E32" s="294">
        <f>C32*'Prac. Rec. Assumptions'!B26</f>
        <v>722.69696016000023</v>
      </c>
      <c r="F32" s="294">
        <f>($C32*(1+'Biomass Data Assumptions'!G$99)*(1+'Biomass Data Assumptions'!C$82))*'Prac. Rec. Assumptions'!$B26</f>
        <v>756.28678138496878</v>
      </c>
      <c r="G32" s="294">
        <f>($C32*(1+'Biomass Data Assumptions'!H$99)*(1+'Biomass Data Assumptions'!D$82))*'Prac. Rec. Assumptions'!$B26</f>
        <v>792.58529667818868</v>
      </c>
      <c r="H32" s="294">
        <f>($C32*(1+'Biomass Data Assumptions'!I$99)*(1+'Biomass Data Assumptions'!E$82))*'Prac. Rec. Assumptions'!$B26</f>
        <v>830.08543073400551</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4442.6219580000006</v>
      </c>
      <c r="D33" s="294">
        <f>E33*'Conversion Tables'!C30</f>
        <v>51612.604859260813</v>
      </c>
      <c r="E33" s="294">
        <f>C33*'Prac. Rec. Assumptions'!B27</f>
        <v>3554.0975664000007</v>
      </c>
      <c r="F33" s="294">
        <f>($C33*(1+'Biomass Data Assumptions'!G$99)*(1+'Biomass Data Assumptions'!C$82))*'Prac. Rec. Assumptions'!$B27</f>
        <v>3719.28644701331</v>
      </c>
      <c r="G33" s="294">
        <f>($C33*(1+'Biomass Data Assumptions'!H$99)*(1+'Biomass Data Assumptions'!D$82))*'Prac. Rec. Assumptions'!$B27</f>
        <v>3897.7962124881847</v>
      </c>
      <c r="H33" s="294">
        <f>($C33*(1+'Biomass Data Assumptions'!I$99)*(1+'Biomass Data Assumptions'!E$82))*'Prac. Rec. Assumptions'!$B27</f>
        <v>4082.2153293998499</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3417.3038940000001</v>
      </c>
      <c r="D34" s="294">
        <f>E34*'Conversion Tables'!C31</f>
        <v>35730.782747040968</v>
      </c>
      <c r="E34" s="294">
        <f>C34*'Prac. Rec. Assumptions'!B28</f>
        <v>2460.4588036800005</v>
      </c>
      <c r="F34" s="294">
        <f>($C34*(1+'Biomass Data Assumptions'!G$99)*(1+'Biomass Data Assumptions'!C$82))*'Prac. Rec. Assumptions'!$B28</f>
        <v>2574.8170698732247</v>
      </c>
      <c r="G34" s="294">
        <f>($C34*(1+'Biomass Data Assumptions'!H$99)*(1+'Biomass Data Assumptions'!D$82))*'Prac. Rec. Assumptions'!$B28</f>
        <v>2698.3972237096868</v>
      </c>
      <c r="H34" s="294">
        <f>($C34*(1+'Biomass Data Assumptions'!I$99)*(1+'Biomass Data Assumptions'!E$82))*'Prac. Rec. Assumptions'!$B28</f>
        <v>2826.0683501475055</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10686.140800000001</v>
      </c>
      <c r="D35" s="294">
        <f>E35*'Conversion Tables'!C32</f>
        <v>121052.60298240003</v>
      </c>
      <c r="E35" s="294">
        <f>C35*'Prac. Rec. Assumptions'!B29</f>
        <v>6839.1301120000016</v>
      </c>
      <c r="F35" s="294">
        <f>($C35*(1+'Biomass Data Assumptions'!G$99)*(1+'Biomass Data Assumptions'!C$83))*'Prac. Rec. Assumptions'!$B29</f>
        <v>7521.4699791978237</v>
      </c>
      <c r="G35" s="294">
        <f>($C35*(1+'Biomass Data Assumptions'!H$99)*(1+'Biomass Data Assumptions'!D$83))*'Prac. Rec. Assumptions'!$B29</f>
        <v>8283.8801449903476</v>
      </c>
      <c r="H35" s="294">
        <f>($C35*(1+'Biomass Data Assumptions'!I$99)*(1+'Biomass Data Assumptions'!E$83))*'Prac. Rec. Assumptions'!$B29</f>
        <v>9117.6342192726388</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7702.8374999999996</v>
      </c>
      <c r="D37" s="294">
        <f>E37*'Conversion Tables'!C34</f>
        <v>123245.4</v>
      </c>
      <c r="E37" s="294">
        <f>C37*'Prac. Rec. Assumptions'!B31</f>
        <v>7702.8374999999996</v>
      </c>
      <c r="F37" s="294">
        <f>($C37*(1+'Biomass Data Assumptions'!G$99)*(1+'Biomass Data Assumptions'!C$84))*'Prac. Rec. Assumptions'!$B31</f>
        <v>8820.3399522521177</v>
      </c>
      <c r="G37" s="294">
        <f>($C37*(1+'Biomass Data Assumptions'!H$99)*(1+'Biomass Data Assumptions'!D$84))*'Prac. Rec. Assumptions'!$B31</f>
        <v>10114.609766998959</v>
      </c>
      <c r="H37" s="294">
        <f>($C37*(1+'Biomass Data Assumptions'!I$99)*(1+'Biomass Data Assumptions'!E$84))*'Prac. Rec. Assumptions'!$B31</f>
        <v>11591.248537800999</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5034.152</v>
      </c>
      <c r="D38" s="294">
        <f>E38*'Conversion Tables'!C35</f>
        <v>44552.245199999998</v>
      </c>
      <c r="E38" s="294">
        <f>C38*'Prac. Rec. Assumptions'!B32</f>
        <v>2517.076</v>
      </c>
      <c r="F38" s="294">
        <f>($C38*(1+'Biomass Data Assumptions'!G$99)*(1+'Biomass Data Assumptions'!C$84))*'Prac. Rec. Assumptions'!$B32</f>
        <v>2882.2451474089844</v>
      </c>
      <c r="G38" s="294">
        <f>($C38*(1+'Biomass Data Assumptions'!H$99)*(1+'Biomass Data Assumptions'!D$84))*'Prac. Rec. Assumptions'!$B32</f>
        <v>3305.17702001096</v>
      </c>
      <c r="H38" s="294">
        <f>($C38*(1+'Biomass Data Assumptions'!I$99)*(1+'Biomass Data Assumptions'!E$84))*'Prac. Rec. Assumptions'!$B32</f>
        <v>3787.7020649252936</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40630.158000000003</v>
      </c>
      <c r="D39" s="299">
        <f>E39*'Conversion Tables'!C36</f>
        <v>0</v>
      </c>
      <c r="E39" s="299">
        <f>C39*'Prac. Rec. Assumptions'!B33</f>
        <v>0</v>
      </c>
      <c r="F39" s="294">
        <f>($C39*(1+'Biomass Data Assumptions'!G$99)*(1+'Biomass Data Assumptions'!C$84))*'Prac. Rec. Assumptions'!$B33</f>
        <v>0</v>
      </c>
      <c r="G39" s="294">
        <f>($C39*(1+'Biomass Data Assumptions'!H$99)*(1+'Biomass Data Assumptions'!D$84))*'Prac. Rec. Assumptions'!$B33</f>
        <v>0</v>
      </c>
      <c r="H39" s="294">
        <f>($C39*(1+'Biomass Data Assumptions'!I$99)*(1+'Biomass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5062.6440000000002</v>
      </c>
      <c r="D40" s="299">
        <f>E40*'Conversion Tables'!C37</f>
        <v>0</v>
      </c>
      <c r="E40" s="299">
        <f>C40*'Prac. Rec. Assumptions'!B34</f>
        <v>0</v>
      </c>
      <c r="F40" s="294">
        <f>($C40*(1+'Biomass Data Assumptions'!G$99)*(1+'Biomass Data Assumptions'!C$84))*'Prac. Rec. Assumptions'!$B34</f>
        <v>0</v>
      </c>
      <c r="G40" s="294">
        <f>($C40*(1+'Biomass Data Assumptions'!H$99)*(1+'Biomass Data Assumptions'!D$84))*'Prac. Rec. Assumptions'!$B34</f>
        <v>0</v>
      </c>
      <c r="H40" s="294">
        <f>($C40*(1+'Biomass Data Assumptions'!I$99)*(1+'Biomass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11438.19</v>
      </c>
      <c r="D41" s="299">
        <f>E41*'Conversion Tables'!C38</f>
        <v>0</v>
      </c>
      <c r="E41" s="299">
        <f>C41*'Prac. Rec. Assumptions'!B35</f>
        <v>0</v>
      </c>
      <c r="F41" s="294">
        <f>($C41*(1+'Biomass Data Assumptions'!G$99)*(1+'Biomass Data Assumptions'!C$84))*'Prac. Rec. Assumptions'!$B35</f>
        <v>0</v>
      </c>
      <c r="G41" s="294">
        <f>($C41*(1+'Biomass Data Assumptions'!H$99)*(1+'Biomass Data Assumptions'!D$84))*'Prac. Rec. Assumptions'!$B35</f>
        <v>0</v>
      </c>
      <c r="H41" s="294">
        <f>($C41*(1+'Biomass Data Assumptions'!I$99)*(1+'Biomass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6977.6010000000006</v>
      </c>
      <c r="D42" s="299">
        <f>E42*'Conversion Tables'!C39</f>
        <v>101328.72172200002</v>
      </c>
      <c r="E42" s="299">
        <f>C42*'Prac. Rec. Assumptions'!B36</f>
        <v>6977.6010000000006</v>
      </c>
      <c r="F42" s="294">
        <f>($C42*(1+'Biomass Data Assumptions'!G$99)*(1+'Biomass Data Assumptions'!C$84))*'Prac. Rec. Assumptions'!$B36</f>
        <v>7989.8885146122238</v>
      </c>
      <c r="G42" s="294">
        <f>($C42*(1+'Biomass Data Assumptions'!H$99)*(1+'Biomass Data Assumptions'!D$84))*'Prac. Rec. Assumptions'!$B36</f>
        <v>9162.3004152459034</v>
      </c>
      <c r="H42" s="294">
        <f>($C42*(1+'Biomass Data Assumptions'!I$99)*(1+'Biomass Data Assumptions'!E$84))*'Prac. Rec. Assumptions'!$B36</f>
        <v>10499.910894992759</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96596.144085600012</v>
      </c>
      <c r="D43" s="295">
        <f t="shared" si="4"/>
        <v>489085.50887326186</v>
      </c>
      <c r="E43" s="295">
        <f t="shared" si="4"/>
        <v>30773.897942240008</v>
      </c>
      <c r="F43" s="295">
        <f t="shared" si="4"/>
        <v>34264.333891742652</v>
      </c>
      <c r="G43" s="295">
        <f t="shared" si="4"/>
        <v>38254.746080122233</v>
      </c>
      <c r="H43" s="295">
        <f t="shared" si="4"/>
        <v>42734.86482727305</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8231.0400000000009</v>
      </c>
      <c r="D46" s="294">
        <f>E46*'Conversion Tables'!C41</f>
        <v>0</v>
      </c>
      <c r="E46" s="294">
        <f>C46*'Prac. Rec. Assumptions'!B38</f>
        <v>8231.0400000000009</v>
      </c>
      <c r="F46" s="294">
        <f>$E46</f>
        <v>8231.0400000000009</v>
      </c>
      <c r="G46" s="294">
        <f>$E46</f>
        <v>8231.0400000000009</v>
      </c>
      <c r="H46" s="294">
        <f>$E46</f>
        <v>8231.0400000000009</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1078.1971200000003</v>
      </c>
      <c r="D47" s="294"/>
      <c r="E47" s="294">
        <f>C47*'Prac. Rec. Assumptions'!B39</f>
        <v>539.09856000000013</v>
      </c>
      <c r="F47" s="294">
        <f>($C47*(1+'Biomass Data Assumptions'!G$99))*'Prac. Rec. Assumptions'!$B39</f>
        <v>564.53832549618335</v>
      </c>
      <c r="G47" s="294">
        <f>($C47*(1+'Biomass Data Assumptions'!H$99))*'Prac. Rec. Assumptions'!$B39</f>
        <v>592.03571908396952</v>
      </c>
      <c r="H47" s="294">
        <f>($C47*(1+'Biomass Data Assumptions'!I$99))*'Prac. Rec. Assumptions'!$B39</f>
        <v>620.46839816793897</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96.360264000000001</v>
      </c>
      <c r="D48" s="294"/>
      <c r="E48" s="294">
        <f>C48*'Prac. Rec. Assumptions'!B40</f>
        <v>96.360264000000001</v>
      </c>
      <c r="F48" s="294">
        <f>($C48*(1+'Biomass Data Assumptions'!G$99))*'Prac. Rec. Assumptions'!$B40</f>
        <v>100.90745203053436</v>
      </c>
      <c r="G48" s="294">
        <f>($C48*(1+'Biomass Data Assumptions'!H$99))*'Prac. Rec. Assumptions'!$B40</f>
        <v>105.82242732824427</v>
      </c>
      <c r="H48" s="294">
        <f>($C48*(1+'Biomass Data Assumptions'!I$99))*'Prac. Rec. Assumptions'!$B40</f>
        <v>110.90457865648854</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9405.5973840000024</v>
      </c>
      <c r="D49" s="295">
        <f>SUM(D45:D48)</f>
        <v>0</v>
      </c>
      <c r="E49" s="295">
        <f t="shared" si="6"/>
        <v>8866.4988240000021</v>
      </c>
      <c r="F49" s="295">
        <f>SUM(F45:F48)</f>
        <v>8896.4857775267192</v>
      </c>
      <c r="G49" s="295">
        <f>SUM(G45:G48)</f>
        <v>8928.8981464122153</v>
      </c>
      <c r="H49" s="295">
        <f>SUM(H45:H48)</f>
        <v>8962.4129768244293</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944.88864000000012</v>
      </c>
      <c r="D52" s="299">
        <f>E52*'Conversion Tables'!C45</f>
        <v>2790.0671761920007</v>
      </c>
      <c r="E52" s="299">
        <f>C52*'Prac. Rec. Assumptions'!B42</f>
        <v>188.97772800000004</v>
      </c>
      <c r="F52" s="294">
        <f t="shared" ref="F52:H59" si="7">$E52</f>
        <v>188.97772800000004</v>
      </c>
      <c r="G52" s="294">
        <f t="shared" si="7"/>
        <v>188.97772800000004</v>
      </c>
      <c r="H52" s="294">
        <f t="shared" si="7"/>
        <v>188.97772800000004</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4979.401175</v>
      </c>
      <c r="D53" s="299">
        <f>E53*'Conversion Tables'!C46</f>
        <v>44109.527368619994</v>
      </c>
      <c r="E53" s="299">
        <f>C53*'Prac. Rec. Assumptions'!B43</f>
        <v>2987.6407049999998</v>
      </c>
      <c r="F53" s="294">
        <f t="shared" si="7"/>
        <v>2987.6407049999998</v>
      </c>
      <c r="G53" s="294">
        <f t="shared" si="7"/>
        <v>2987.6407049999998</v>
      </c>
      <c r="H53" s="294">
        <f t="shared" si="7"/>
        <v>2987.6407049999998</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5686.7456249999996</v>
      </c>
      <c r="D54" s="299">
        <f>E54*'Conversion Tables'!C47</f>
        <v>50375.467444499991</v>
      </c>
      <c r="E54" s="299">
        <f>C54*'Prac. Rec. Assumptions'!B44</f>
        <v>3412.0473749999996</v>
      </c>
      <c r="F54" s="294">
        <f t="shared" si="7"/>
        <v>3412.0473749999996</v>
      </c>
      <c r="G54" s="294">
        <f t="shared" si="7"/>
        <v>3412.0473749999996</v>
      </c>
      <c r="H54" s="294">
        <f t="shared" si="7"/>
        <v>3412.0473749999996</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233.10724999999999</v>
      </c>
      <c r="D55" s="299">
        <f>E55*'Conversion Tables'!C48</f>
        <v>688.31908780000003</v>
      </c>
      <c r="E55" s="299">
        <f>C55*'Prac. Rec. Assumptions'!B45</f>
        <v>46.621450000000003</v>
      </c>
      <c r="F55" s="294">
        <f t="shared" si="7"/>
        <v>46.621450000000003</v>
      </c>
      <c r="G55" s="294">
        <f t="shared" si="7"/>
        <v>46.621450000000003</v>
      </c>
      <c r="H55" s="294">
        <f t="shared" si="7"/>
        <v>46.621450000000003</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244.650375</v>
      </c>
      <c r="D56" s="299">
        <f>E56*'Conversion Tables'!C49</f>
        <v>722.40362730000004</v>
      </c>
      <c r="E56" s="299">
        <f>C56*'Prac. Rec. Assumptions'!B46</f>
        <v>48.930075000000002</v>
      </c>
      <c r="F56" s="294">
        <f t="shared" si="7"/>
        <v>48.930075000000002</v>
      </c>
      <c r="G56" s="294">
        <f t="shared" si="7"/>
        <v>48.930075000000002</v>
      </c>
      <c r="H56" s="294">
        <f t="shared" si="7"/>
        <v>48.930075000000002</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402.71362499999998</v>
      </c>
      <c r="D57" s="299">
        <f>E57*'Conversion Tables'!C50</f>
        <v>2972.8319797499998</v>
      </c>
      <c r="E57" s="299">
        <f>C57*'Prac. Rec. Assumptions'!B47</f>
        <v>201.35681249999999</v>
      </c>
      <c r="F57" s="294">
        <f t="shared" si="7"/>
        <v>201.35681249999999</v>
      </c>
      <c r="G57" s="294">
        <f t="shared" si="7"/>
        <v>201.35681249999999</v>
      </c>
      <c r="H57" s="294">
        <f t="shared" si="7"/>
        <v>201.35681249999999</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67.616249999999994</v>
      </c>
      <c r="D58" s="299">
        <f>E58*'Conversion Tables'!C51</f>
        <v>811.39499999999998</v>
      </c>
      <c r="E58" s="299">
        <f>C58*'Prac. Rec. Assumptions'!B48</f>
        <v>67.616249999999994</v>
      </c>
      <c r="F58" s="294">
        <f t="shared" si="7"/>
        <v>67.616249999999994</v>
      </c>
      <c r="G58" s="294">
        <f t="shared" si="7"/>
        <v>67.616249999999994</v>
      </c>
      <c r="H58" s="294">
        <f t="shared" si="7"/>
        <v>67.616249999999994</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17.775500000000001</v>
      </c>
      <c r="D59" s="299">
        <f>E59*'Conversion Tables'!C52</f>
        <v>262.43748199999999</v>
      </c>
      <c r="E59" s="299">
        <f>C59*'Prac. Rec. Assumptions'!B49</f>
        <v>17.775500000000001</v>
      </c>
      <c r="F59" s="294">
        <f t="shared" si="7"/>
        <v>17.775500000000001</v>
      </c>
      <c r="G59" s="294">
        <f t="shared" si="7"/>
        <v>17.775500000000001</v>
      </c>
      <c r="H59" s="294">
        <f t="shared" si="7"/>
        <v>17.775500000000001</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Assumptions'!AE14</f>
        <v>10267.356263999998</v>
      </c>
      <c r="D60" s="299">
        <f>E60*'Conversion Tables'!C53</f>
        <v>123208.27516799998</v>
      </c>
      <c r="E60" s="299">
        <f>C60*'Prac. Rec. Assumptions'!B50</f>
        <v>10267.356263999998</v>
      </c>
      <c r="F60" s="294">
        <f>($C60*(1+'Biomass Data Assumptions'!G$99*(4/5)))*'Prac. Rec. Assumptions'!$B50</f>
        <v>10654.964994577098</v>
      </c>
      <c r="G60" s="294">
        <f>($C60*(1+'Biomass Data Assumptions'!H$99*(9/10)))*'Prac. Rec. Assumptions'!$B50</f>
        <v>11174.745452216792</v>
      </c>
      <c r="H60" s="294">
        <f>($C60*(1+'Biomass Data Assumptions'!I$99*(14/15)))*'Prac. Rec. Assumptions'!$B50</f>
        <v>11713.763843175571</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22844.254703999995</v>
      </c>
      <c r="D61" s="295">
        <f>SUM(D52:D60)</f>
        <v>225940.72433416196</v>
      </c>
      <c r="E61" s="295">
        <f t="shared" ref="E61:P61" si="8">SUM(E52:E60)</f>
        <v>17238.3221595</v>
      </c>
      <c r="F61" s="295">
        <f>SUM(F52:F60)</f>
        <v>17625.930890077099</v>
      </c>
      <c r="G61" s="295">
        <f>SUM(G52:G60)</f>
        <v>18145.711347716791</v>
      </c>
      <c r="H61" s="295">
        <f>SUM(H52:H60)</f>
        <v>18684.729738675571</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Assumptions'!AB14</f>
        <v>56.612594999999999</v>
      </c>
      <c r="D63" s="300">
        <f>E63*'Conversion Tables'!C55</f>
        <v>35043.196304999998</v>
      </c>
      <c r="E63" s="299">
        <f>C63*'Prac. Rec. Assumptions'!B51</f>
        <v>56.612594999999999</v>
      </c>
      <c r="F63" s="294">
        <f>($C63*(1+'Biomass Data Assumptions'!G$99*(4/5)))*'Prac. Rec. Assumptions'!$B51</f>
        <v>58.749808857043718</v>
      </c>
      <c r="G63" s="294">
        <f>($C63*(1+'Biomass Data Assumptions'!H$99*(9/10)))*'Prac. Rec. Assumptions'!$B51</f>
        <v>61.61579692453158</v>
      </c>
      <c r="H63" s="294">
        <f>($C63*(1+'Biomass Data Assumptions'!I$99*(14/15)))*'Prac. Rec. Assumptions'!$B51</f>
        <v>64.587859944483</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Assumptions'!X14</f>
        <v>2709.58754</v>
      </c>
      <c r="D64" s="300">
        <f>E64*'Conversion Tables'!C56</f>
        <v>1371051.2952399999</v>
      </c>
      <c r="E64" s="299">
        <f>C64*'Prac. Rec. Assumptions'!B52</f>
        <v>2709.58754</v>
      </c>
      <c r="F64" s="545">
        <f>($C64*(1+'Biomass Data Assumptions'!G$99*(3/5))*(1+('Biomass Data Assumptions'!C$82-((1+'Biomass Data Assumptions'!$B$82)^2 - 1))))*'Prac. Rec. Assumptions'!$B52</f>
        <v>2785.1709577523857</v>
      </c>
      <c r="G64" s="545">
        <f>($C64*(1+'Biomass Data Assumptions'!H$99*(4/5))*(1+('Biomass Data Assumptions'!D$82-((1+'Biomass Data Assumptions'!$B$82)^2 - 1))))*'Prac. Rec. Assumptions'!$B52</f>
        <v>2919.2700729182698</v>
      </c>
      <c r="H64" s="545">
        <f>($C64*(1+'Biomass Data Assumptions'!I$99*(13/15))*(1+('Biomass Data Assumptions'!E$82-((1+'Biomass Data Assumptions'!$B$82)^2 - 1))))*'Prac. Rec. Assumptions'!$B52</f>
        <v>3058.6292563379457</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2766.200135</v>
      </c>
      <c r="D65" s="295">
        <f>SUM(D63:D64)</f>
        <v>1406094.4915449999</v>
      </c>
      <c r="E65" s="295">
        <f t="shared" ref="E65:P65" si="9">SUM(E63:E64)</f>
        <v>2766.200135</v>
      </c>
      <c r="F65" s="295">
        <f>SUM(F63:F64)</f>
        <v>2843.9207666094294</v>
      </c>
      <c r="G65" s="295">
        <f>SUM(G63:G64)</f>
        <v>2980.8858698428012</v>
      </c>
      <c r="H65" s="295">
        <f>SUM(H63:H64)</f>
        <v>3123.2171162824288</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131590.12365920792</v>
      </c>
      <c r="D67" s="295">
        <f t="shared" ref="D67" si="10">D61+D65</f>
        <v>1632035.2158791618</v>
      </c>
      <c r="E67" s="295">
        <f>E61+(E63*1000000/29487.1582406855)+(E64*1000000/25364.5039539246)</f>
        <v>125984.19111470792</v>
      </c>
      <c r="F67" s="295">
        <f t="shared" ref="F67:H67" si="11">F61+(F63*1000000/29487.1582406855)+(F64*1000000/25364.5039539246)</f>
        <v>129424.16877458029</v>
      </c>
      <c r="G67" s="295">
        <f t="shared" si="11"/>
        <v>135328.02472503707</v>
      </c>
      <c r="H67" s="295">
        <f t="shared" si="11"/>
        <v>141462.09504581022</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337670.90659547457</v>
      </c>
      <c r="D68" s="132"/>
      <c r="E68" s="132">
        <f>E11+E29+E43+E49+E67</f>
        <v>222716.97704761458</v>
      </c>
      <c r="F68" s="132">
        <f>F11+F29+F43+F49+F67</f>
        <v>231316.48913954711</v>
      </c>
      <c r="G68" s="132">
        <f>G11+G29+G43+G49+G67</f>
        <v>243014.85637350072</v>
      </c>
      <c r="H68" s="132">
        <f>H11+H29+H43+H49+H67</f>
        <v>255494.50845134188</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352</v>
      </c>
      <c r="C74" s="40">
        <f>'Biomass Data Assumptions'!B38*B74</f>
        <v>22985.599999999999</v>
      </c>
      <c r="D74" s="40">
        <f>(C74*'Biomass Data Assumptions'!C38)/2000</f>
        <v>643.59679999999992</v>
      </c>
      <c r="E74" s="41"/>
      <c r="F74" s="41"/>
      <c r="G74" s="41"/>
      <c r="H74" s="36"/>
      <c r="I74" s="36"/>
      <c r="J74" s="36"/>
      <c r="K74" s="36"/>
      <c r="L74" s="36"/>
      <c r="M74" s="36"/>
      <c r="N74" s="36"/>
      <c r="O74" s="36"/>
      <c r="P74" s="36"/>
      <c r="Q74" s="36"/>
      <c r="R74" s="36"/>
    </row>
    <row r="75" spans="1:19" x14ac:dyDescent="0.25">
      <c r="A75" s="39" t="s">
        <v>520</v>
      </c>
      <c r="B75" s="21">
        <v>745</v>
      </c>
      <c r="C75" s="40">
        <f>'Biomass Data Assumptions'!B39*B75</f>
        <v>20338.5</v>
      </c>
      <c r="D75" s="40">
        <f>(C75*'Biomass Data Assumptions'!C39)/2000</f>
        <v>569.47799999999995</v>
      </c>
      <c r="E75" s="41"/>
      <c r="F75" s="41"/>
      <c r="G75" s="41"/>
      <c r="H75" s="36"/>
      <c r="I75" s="36"/>
      <c r="J75" s="36"/>
      <c r="K75" s="36"/>
      <c r="L75" s="36"/>
      <c r="M75" s="36"/>
      <c r="N75" s="36"/>
      <c r="O75" s="36"/>
      <c r="P75" s="36"/>
      <c r="Q75" s="36"/>
      <c r="R75" s="36"/>
    </row>
    <row r="76" spans="1:19" x14ac:dyDescent="0.25">
      <c r="A76" s="39" t="s">
        <v>521</v>
      </c>
      <c r="B76" s="21">
        <v>2918</v>
      </c>
      <c r="C76" s="40">
        <f>'Biomass Data Assumptions'!B40*B76</f>
        <v>364750</v>
      </c>
      <c r="D76" s="40">
        <f>(C76*'Biomass Data Assumptions'!C40)/2000</f>
        <v>10213</v>
      </c>
      <c r="E76" s="41"/>
      <c r="F76" s="41"/>
      <c r="G76" s="41"/>
      <c r="H76" s="36"/>
      <c r="I76" s="36"/>
      <c r="J76" s="36"/>
      <c r="K76" s="36"/>
      <c r="L76" s="36"/>
      <c r="M76" s="36"/>
      <c r="N76" s="36"/>
      <c r="O76" s="36"/>
      <c r="P76" s="36"/>
      <c r="Q76" s="36"/>
      <c r="R76" s="36"/>
    </row>
    <row r="77" spans="1:19" x14ac:dyDescent="0.25">
      <c r="A77" s="39" t="s">
        <v>525</v>
      </c>
      <c r="B77" s="21">
        <v>8574</v>
      </c>
      <c r="C77" s="40">
        <f>'Biomass Data Assumptions'!B41*B77</f>
        <v>274368</v>
      </c>
      <c r="D77" s="40">
        <f>(C77*'Biomass Data Assumptions'!C41)/2000</f>
        <v>8231.0400000000009</v>
      </c>
      <c r="E77" s="41"/>
      <c r="F77" s="41"/>
      <c r="G77" s="41"/>
      <c r="H77" s="36"/>
      <c r="I77" s="36"/>
      <c r="J77" s="36"/>
      <c r="K77" s="36"/>
      <c r="L77" s="36"/>
      <c r="M77" s="36"/>
      <c r="N77" s="36"/>
      <c r="O77" s="36"/>
      <c r="P77" s="36"/>
      <c r="Q77" s="36"/>
      <c r="R77" s="36"/>
    </row>
    <row r="78" spans="1:19" x14ac:dyDescent="0.25">
      <c r="A78" s="39" t="s">
        <v>522</v>
      </c>
      <c r="B78" s="21">
        <v>4226</v>
      </c>
      <c r="C78" s="40">
        <f>'Biomass Data Assumptions'!B42*B78</f>
        <v>228204</v>
      </c>
      <c r="D78" s="40">
        <f>(C78*'Biomass Data Assumptions'!C42)/2000</f>
        <v>6846.12</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468</v>
      </c>
      <c r="C81" s="40">
        <f>'Biomass Data Assumptions'!B49*B81</f>
        <v>468</v>
      </c>
      <c r="D81" s="40">
        <f>C81*'Energy Content Assumptions'!C11</f>
        <v>397.8</v>
      </c>
      <c r="E81" s="41"/>
      <c r="F81" s="41"/>
      <c r="G81" s="41"/>
      <c r="H81" s="36"/>
      <c r="I81" s="36"/>
      <c r="J81" s="36"/>
      <c r="K81" s="36"/>
      <c r="L81" s="36"/>
      <c r="M81" s="36"/>
      <c r="N81" s="36"/>
      <c r="O81" s="36"/>
      <c r="P81" s="36"/>
      <c r="Q81" s="36"/>
      <c r="R81" s="36"/>
    </row>
    <row r="82" spans="1:18" x14ac:dyDescent="0.25">
      <c r="A82" s="39" t="s">
        <v>520</v>
      </c>
      <c r="B82" s="21">
        <f>745+318</f>
        <v>1063</v>
      </c>
      <c r="C82" s="40">
        <f>'Biomass Data Assumptions'!B50*B82</f>
        <v>2391.75</v>
      </c>
      <c r="D82" s="40">
        <f>C82*'Energy Content Assumptions'!C12</f>
        <v>2032.9875</v>
      </c>
      <c r="E82" s="41"/>
      <c r="F82" s="41"/>
      <c r="G82" s="41"/>
      <c r="H82" s="36"/>
      <c r="I82" s="36"/>
      <c r="J82" s="36"/>
      <c r="K82" s="36"/>
      <c r="L82" s="36"/>
      <c r="M82" s="36"/>
      <c r="N82" s="36"/>
      <c r="O82" s="36"/>
      <c r="P82" s="36"/>
      <c r="Q82" s="36"/>
      <c r="R82" s="36"/>
    </row>
    <row r="83" spans="1:18" x14ac:dyDescent="0.25">
      <c r="A83" s="39" t="s">
        <v>521</v>
      </c>
      <c r="B83" s="21">
        <f>2918</f>
        <v>2918</v>
      </c>
      <c r="C83" s="40">
        <f>'Biomass Data Assumptions'!B51*B83</f>
        <v>7295</v>
      </c>
      <c r="D83" s="40">
        <f>C83*'Energy Content Assumptions'!C13</f>
        <v>6200.75</v>
      </c>
      <c r="E83" s="41"/>
      <c r="F83" s="41"/>
      <c r="G83" s="41"/>
      <c r="H83" s="36"/>
      <c r="I83" s="36"/>
      <c r="J83" s="36"/>
      <c r="K83" s="36"/>
      <c r="L83" s="36"/>
      <c r="M83" s="36"/>
      <c r="N83" s="36"/>
      <c r="O83" s="36"/>
      <c r="P83" s="36"/>
      <c r="Q83" s="36"/>
      <c r="R83" s="36"/>
    </row>
    <row r="84" spans="1:18" x14ac:dyDescent="0.25">
      <c r="A84" s="39" t="s">
        <v>528</v>
      </c>
      <c r="B84" s="21">
        <v>802</v>
      </c>
      <c r="C84" s="40">
        <f>'Biomass Data Assumptions'!B52*B84</f>
        <v>13152.8</v>
      </c>
      <c r="D84" s="40">
        <f>C84*'Energy Content Assumptions'!C14</f>
        <v>4603.4799999999996</v>
      </c>
      <c r="E84" s="41"/>
      <c r="F84" s="41"/>
      <c r="G84" s="41"/>
      <c r="H84" s="36"/>
      <c r="I84" s="36"/>
      <c r="J84" s="36"/>
      <c r="K84" s="36"/>
      <c r="L84" s="36"/>
      <c r="M84" s="36"/>
      <c r="N84" s="36"/>
      <c r="O84" s="36"/>
      <c r="P84" s="36"/>
      <c r="Q84" s="36"/>
      <c r="R84" s="36"/>
    </row>
    <row r="85" spans="1:18" x14ac:dyDescent="0.25">
      <c r="A85" s="39" t="s">
        <v>529</v>
      </c>
      <c r="B85" s="21">
        <v>1750</v>
      </c>
      <c r="C85" s="40">
        <f>'Biomass Data Assumptions'!B53*B85</f>
        <v>5600</v>
      </c>
      <c r="D85" s="40">
        <f>C85*'Energy Content Assumptions'!C15</f>
        <v>4760</v>
      </c>
      <c r="E85" s="41"/>
      <c r="F85" s="41"/>
      <c r="G85" s="41"/>
      <c r="H85" s="36"/>
      <c r="I85" s="36"/>
      <c r="J85" s="36"/>
      <c r="K85" s="36"/>
      <c r="L85" s="36"/>
      <c r="M85" s="36"/>
      <c r="N85" s="36"/>
      <c r="O85" s="36"/>
      <c r="P85" s="36"/>
      <c r="Q85" s="36"/>
      <c r="R85" s="36"/>
    </row>
    <row r="86" spans="1:18" x14ac:dyDescent="0.25">
      <c r="A86" s="39" t="s">
        <v>530</v>
      </c>
      <c r="B86" s="21">
        <v>2944</v>
      </c>
      <c r="C86" s="40">
        <f>'Biomass Data Assumptions'!B54*B86</f>
        <v>5004.8</v>
      </c>
      <c r="D86" s="40">
        <f>C86*'Energy Content Assumptions'!C16</f>
        <v>4254.08</v>
      </c>
      <c r="E86" s="41"/>
      <c r="F86" s="41"/>
      <c r="G86" s="41"/>
      <c r="H86" s="36"/>
      <c r="I86" s="36"/>
      <c r="J86" s="36"/>
      <c r="K86" s="36"/>
      <c r="L86" s="36"/>
      <c r="M86" s="36"/>
      <c r="N86" s="36"/>
      <c r="O86" s="36"/>
      <c r="P86" s="36"/>
      <c r="Q86" s="36"/>
      <c r="R86" s="36"/>
    </row>
    <row r="87" spans="1:18" x14ac:dyDescent="0.25">
      <c r="A87" s="39" t="s">
        <v>522</v>
      </c>
      <c r="B87" s="21">
        <f>4226+3</f>
        <v>4229</v>
      </c>
      <c r="C87" s="40">
        <f>'Biomass Data Assumptions'!B55*B87</f>
        <v>7400.75</v>
      </c>
      <c r="D87" s="40">
        <f>C87*'Energy Content Assumptions'!C17</f>
        <v>6290.6374999999998</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t="0.75" customHeight="1" x14ac:dyDescent="0.25">
      <c r="A94" s="464" t="s">
        <v>535</v>
      </c>
      <c r="B94" s="462"/>
      <c r="C94" s="461"/>
      <c r="D94" s="461"/>
      <c r="E94" s="465"/>
      <c r="F94" s="462"/>
      <c r="G94" s="462"/>
      <c r="H94" s="36"/>
      <c r="I94" s="36"/>
      <c r="J94" s="44"/>
      <c r="K94" s="44"/>
      <c r="L94" s="44"/>
      <c r="M94" s="44"/>
      <c r="N94" s="36"/>
      <c r="O94" s="36"/>
      <c r="P94" s="36"/>
      <c r="Q94" s="36"/>
      <c r="R94" s="36"/>
    </row>
    <row r="95" spans="1:18" hidden="1" x14ac:dyDescent="0.25">
      <c r="A95" s="466" t="s">
        <v>536</v>
      </c>
      <c r="B95" s="461"/>
      <c r="C95" s="458"/>
      <c r="D95" s="458"/>
      <c r="E95" s="458"/>
      <c r="F95" s="458"/>
      <c r="G95" s="458"/>
      <c r="H95" s="36"/>
      <c r="I95" s="36"/>
      <c r="J95" s="41"/>
      <c r="K95" s="41"/>
      <c r="L95" s="41"/>
      <c r="M95" s="41"/>
      <c r="N95" s="36"/>
      <c r="O95" s="36"/>
      <c r="P95" s="36"/>
      <c r="Q95" s="36"/>
      <c r="R95" s="36"/>
    </row>
    <row r="96" spans="1:18" hidden="1" x14ac:dyDescent="0.25">
      <c r="A96" s="466" t="s">
        <v>537</v>
      </c>
      <c r="B96" s="461"/>
      <c r="C96" s="458"/>
      <c r="D96" s="458"/>
      <c r="E96" s="458"/>
      <c r="F96" s="458"/>
      <c r="G96" s="458"/>
      <c r="H96" s="36"/>
      <c r="I96" s="36"/>
      <c r="J96" s="41"/>
      <c r="K96" s="41"/>
      <c r="L96" s="41"/>
      <c r="M96" s="41"/>
      <c r="N96" s="36"/>
      <c r="O96" s="36"/>
      <c r="P96" s="36"/>
      <c r="Q96" s="36"/>
      <c r="R96" s="36"/>
    </row>
    <row r="97" spans="1:18" x14ac:dyDescent="0.25">
      <c r="A97" s="467" t="s">
        <v>535</v>
      </c>
      <c r="B97" s="85">
        <v>834</v>
      </c>
      <c r="C97" s="458">
        <f>ROUND('Biomass Data Assumptions'!$B$60/1000*B97,0)</f>
        <v>834</v>
      </c>
      <c r="D97" s="458">
        <f>'Biomass Data Assumptions'!$C$60*C97</f>
        <v>28005720</v>
      </c>
      <c r="E97" s="458">
        <f>('Biomass Data Assumptions'!$D$60*'Energy Content Assumptions'!$C$44*D97)/2000</f>
        <v>336.06864000000002</v>
      </c>
      <c r="F97" s="458">
        <f>('Biomass Data Assumptions'!$E$60*B97*365)/2000</f>
        <v>608.82000000000005</v>
      </c>
      <c r="G97" s="458">
        <f>F97+E97</f>
        <v>944.88864000000012</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ht="11.25" customHeight="1" x14ac:dyDescent="0.25">
      <c r="A100" s="460" t="s">
        <v>603</v>
      </c>
      <c r="B100" s="85">
        <v>892</v>
      </c>
      <c r="C100" s="41">
        <f>ROUND('Biomass Data Assumptions'!B62/1000*B100,0)</f>
        <v>312</v>
      </c>
      <c r="D100" s="41">
        <f>'Biomass Data Assumptions'!C62*C100</f>
        <v>9110400</v>
      </c>
      <c r="E100" s="41">
        <f>('Biomass Data Assumptions'!D62*'Energy Content Assumptions'!C46*D100)/2000</f>
        <v>409.96800000000002</v>
      </c>
      <c r="F100" s="41">
        <f>('Biomass Data Assumptions'!E62*B100*365)/2000</f>
        <v>813.95</v>
      </c>
      <c r="G100" s="41">
        <f>F100+E100</f>
        <v>1223.9180000000001</v>
      </c>
      <c r="H100" s="36"/>
      <c r="I100" s="36"/>
      <c r="J100" s="41"/>
      <c r="K100" s="41"/>
      <c r="L100" s="41"/>
      <c r="M100" s="41"/>
      <c r="N100" s="36"/>
      <c r="O100" s="36"/>
      <c r="P100" s="36"/>
      <c r="Q100" s="36"/>
      <c r="R100" s="36"/>
    </row>
    <row r="101" spans="1:18" hidden="1" x14ac:dyDescent="0.25">
      <c r="A101" s="45"/>
      <c r="B101" s="458"/>
      <c r="C101" s="461">
        <f>ROUND('Biomass Data Assumptions'!B63/1000*B101,0)</f>
        <v>0</v>
      </c>
      <c r="D101" s="461">
        <f>'Biomass Data Assumptions'!C63*C101</f>
        <v>0</v>
      </c>
      <c r="E101" s="461">
        <f>('Biomass Data Assumptions'!D63*'Energy Content Assumptions'!C47*D101)/2000</f>
        <v>0</v>
      </c>
      <c r="F101" s="461">
        <f>('Biomass Data Assumptions'!E63*B101*365)/2000</f>
        <v>0</v>
      </c>
      <c r="G101" s="461">
        <f>F101+E101</f>
        <v>0</v>
      </c>
      <c r="H101" s="36"/>
      <c r="I101" s="36"/>
      <c r="J101" s="41"/>
      <c r="K101" s="41"/>
      <c r="L101" s="41"/>
      <c r="M101" s="41"/>
      <c r="N101" s="36"/>
      <c r="O101" s="36"/>
      <c r="P101" s="36"/>
      <c r="Q101" s="36"/>
      <c r="R101" s="36"/>
    </row>
    <row r="102" spans="1:18" ht="11.25" customHeight="1" x14ac:dyDescent="0.25">
      <c r="A102" s="460" t="s">
        <v>604</v>
      </c>
      <c r="B102" s="85">
        <v>858</v>
      </c>
      <c r="C102" s="41">
        <f>ROUND('Biomass Data Assumptions'!B64/1000*B102,0)</f>
        <v>1201</v>
      </c>
      <c r="D102" s="41">
        <f>'Biomass Data Assumptions'!C64*C102</f>
        <v>48658515</v>
      </c>
      <c r="E102" s="41">
        <f>('Biomass Data Assumptions'!D64*'Energy Content Assumptions'!C48*D102)/2000</f>
        <v>2189.6331749999999</v>
      </c>
      <c r="F102" s="41">
        <f>'Biomass Data Assumptions'!E64*B102*365/2000</f>
        <v>1565.85</v>
      </c>
      <c r="G102" s="41">
        <f>F102+E102</f>
        <v>3755.4831749999998</v>
      </c>
      <c r="H102" s="36"/>
      <c r="I102" s="36"/>
      <c r="J102" s="41"/>
      <c r="K102" s="41"/>
      <c r="L102" s="41"/>
      <c r="M102" s="41"/>
      <c r="N102" s="36"/>
      <c r="O102" s="36"/>
      <c r="P102" s="36"/>
      <c r="Q102" s="36"/>
      <c r="R102" s="36"/>
    </row>
    <row r="103" spans="1:18" hidden="1" x14ac:dyDescent="0.25">
      <c r="A103" s="45"/>
      <c r="B103" s="458"/>
      <c r="C103" s="41"/>
      <c r="D103" s="41"/>
      <c r="E103" s="41"/>
      <c r="F103" s="41"/>
      <c r="G103" s="41"/>
      <c r="H103" s="36"/>
      <c r="I103" s="36"/>
      <c r="J103" s="41"/>
      <c r="K103" s="41"/>
      <c r="L103" s="41"/>
      <c r="M103" s="41"/>
      <c r="N103" s="36"/>
      <c r="O103" s="36"/>
      <c r="P103" s="36"/>
      <c r="Q103" s="36"/>
      <c r="R103" s="36"/>
    </row>
    <row r="104" spans="1:18" x14ac:dyDescent="0.25">
      <c r="A104" s="467" t="s">
        <v>544</v>
      </c>
      <c r="B104" s="85">
        <f t="shared" ref="B104:G104" si="14">SUM(B100:B103)</f>
        <v>1750</v>
      </c>
      <c r="C104" s="41">
        <f t="shared" si="14"/>
        <v>1513</v>
      </c>
      <c r="D104" s="41">
        <f t="shared" si="14"/>
        <v>57768915</v>
      </c>
      <c r="E104" s="41">
        <f t="shared" si="14"/>
        <v>2599.6011749999998</v>
      </c>
      <c r="F104" s="41">
        <f t="shared" si="14"/>
        <v>2379.8000000000002</v>
      </c>
      <c r="G104" s="41">
        <f t="shared" si="14"/>
        <v>4979.401175</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1650</v>
      </c>
      <c r="C106" s="41">
        <f>ROUND('Biomass Data Assumptions'!B66/1000*B106,0)</f>
        <v>1650</v>
      </c>
      <c r="D106" s="41">
        <f>'Biomass Data Assumptions'!C66*C106</f>
        <v>33424875</v>
      </c>
      <c r="E106" s="41">
        <f>('Biomass Data Assumptions'!D66*'Energy Content Assumptions'!C50*D106)/2000</f>
        <v>1169.870625</v>
      </c>
      <c r="F106" s="41">
        <f>'Biomass Data Assumptions'!E66*B106*365/2000</f>
        <v>4516.875</v>
      </c>
      <c r="G106" s="41">
        <f>F106+E106</f>
        <v>5686.7456249999996</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1060</v>
      </c>
      <c r="C108" s="41">
        <f>ROUND('Biomass Data Assumptions'!B67/1000*B108,0)</f>
        <v>106</v>
      </c>
      <c r="D108" s="41">
        <f>'Biomass Data Assumptions'!C67*C108</f>
        <v>1586290</v>
      </c>
      <c r="E108" s="41">
        <f>('Biomass Data Assumptions'!D67*'Energy Content Assumptions'!C51*D108)/2000</f>
        <v>39.657249999999998</v>
      </c>
      <c r="F108" s="41">
        <f>'Biomass Data Assumptions'!E67*B108*365/2000</f>
        <v>193.45</v>
      </c>
      <c r="G108" s="41">
        <f>F108+E108</f>
        <v>233.10724999999999</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1113</v>
      </c>
      <c r="C110" s="41">
        <f>ROUND('Biomass Data Assumptions'!B68/1000*B110,0)</f>
        <v>111</v>
      </c>
      <c r="D110" s="41">
        <f>'Biomass Data Assumptions'!C68*C110</f>
        <v>1661115</v>
      </c>
      <c r="E110" s="41">
        <f>('Biomass Data Assumptions'!D68*'Energy Content Assumptions'!C52*D110)/2000</f>
        <v>41.527875000000002</v>
      </c>
      <c r="F110" s="41">
        <f>'Biomass Data Assumptions'!E68*B110*365/2000</f>
        <v>203.1225</v>
      </c>
      <c r="G110" s="41">
        <f>F110+E110</f>
        <v>244.650375</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68"/>
      <c r="B112" s="150"/>
      <c r="C112" s="41"/>
      <c r="D112" s="41"/>
      <c r="E112" s="41"/>
      <c r="F112" s="41"/>
      <c r="G112" s="41"/>
      <c r="H112" s="36"/>
      <c r="I112" s="36"/>
      <c r="J112" s="41"/>
      <c r="K112" s="41"/>
      <c r="L112" s="41"/>
      <c r="M112" s="41"/>
      <c r="N112" s="36"/>
      <c r="O112" s="36"/>
      <c r="P112" s="36"/>
      <c r="Q112" s="36"/>
      <c r="R112" s="36"/>
    </row>
    <row r="113" spans="1:18" hidden="1" x14ac:dyDescent="0.25">
      <c r="A113" s="468"/>
      <c r="B113" s="458"/>
      <c r="C113" s="458"/>
      <c r="D113" s="458"/>
      <c r="E113" s="458"/>
      <c r="F113" s="458"/>
      <c r="G113" s="458"/>
      <c r="H113" s="36"/>
      <c r="I113" s="36"/>
      <c r="J113" s="41"/>
      <c r="K113" s="41"/>
      <c r="L113" s="41"/>
      <c r="M113" s="41"/>
      <c r="N113" s="36"/>
      <c r="O113" s="36"/>
      <c r="P113" s="36"/>
      <c r="Q113" s="36"/>
      <c r="R113" s="36"/>
    </row>
    <row r="114" spans="1:18" hidden="1" x14ac:dyDescent="0.25">
      <c r="A114" s="460"/>
      <c r="B114" s="458"/>
      <c r="C114" s="41"/>
      <c r="D114" s="41"/>
      <c r="E114" s="41"/>
      <c r="F114" s="41"/>
      <c r="G114" s="41"/>
      <c r="H114" s="36"/>
      <c r="I114" s="36"/>
      <c r="J114" s="41"/>
      <c r="K114" s="41"/>
      <c r="L114" s="41"/>
      <c r="M114" s="41"/>
      <c r="N114" s="36"/>
      <c r="O114" s="36"/>
      <c r="P114" s="36"/>
      <c r="Q114" s="36"/>
      <c r="R114" s="36"/>
    </row>
    <row r="115" spans="1:18" x14ac:dyDescent="0.25">
      <c r="A115" s="43" t="s">
        <v>605</v>
      </c>
      <c r="B115" s="85">
        <v>2347</v>
      </c>
      <c r="C115" s="41">
        <f>ROUND('Biomass Data Assumptions'!$B$71/1000*B115,0)</f>
        <v>939</v>
      </c>
      <c r="D115" s="41">
        <f>'Biomass Data Assumptions'!$C$71*C115</f>
        <v>16108545</v>
      </c>
      <c r="E115" s="41">
        <f>('Biomass Data Assumptions'!$D$71*'Energy Content Assumptions'!$C$55*D115)/2000</f>
        <v>402.71362499999998</v>
      </c>
      <c r="F115" s="41">
        <f>'Biomass Data Assumptions'!$E$71*B115*365/2000</f>
        <v>0</v>
      </c>
      <c r="G115" s="41">
        <f>F115+E115</f>
        <v>402.71362499999998</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1034+1772+4716</f>
        <v>7522</v>
      </c>
      <c r="C117" s="41">
        <f>ROUND('Biomass Data Assumptions'!B72/1000*B117,0)</f>
        <v>38</v>
      </c>
      <c r="D117" s="41">
        <f>'Biomass Data Assumptions'!C72*C117</f>
        <v>693500</v>
      </c>
      <c r="E117" s="41">
        <f>('Biomass Data Assumptions'!D72*'Energy Content Assumptions'!C56*D117)/2000</f>
        <v>67.616249999999994</v>
      </c>
      <c r="F117" s="41">
        <f>'Biomass Data Assumptions'!E72*B117*365/2000</f>
        <v>0</v>
      </c>
      <c r="G117" s="41">
        <f>F117+E117</f>
        <v>67.616249999999994</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419</v>
      </c>
      <c r="C119" s="41">
        <f>ROUND('Biomass Data Assumptions'!B73/1000*B119,0)</f>
        <v>8</v>
      </c>
      <c r="D119" s="41">
        <f>'Biomass Data Assumptions'!C73*C119</f>
        <v>108040</v>
      </c>
      <c r="E119" s="41">
        <f>('Biomass Data Assumptions'!D73*'Energy Content Assumptions'!C57*D119)/2000</f>
        <v>10.12875</v>
      </c>
      <c r="F119" s="41">
        <f>'Biomass Data Assumptions'!E73*B119*365/2000</f>
        <v>7.6467500000000008</v>
      </c>
      <c r="G119" s="41">
        <f>F119+E119</f>
        <v>17.775500000000001</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 si="15">B97+B104+B106+B108+B110+B115+B117+B119</f>
        <v>16695</v>
      </c>
      <c r="C121" s="48">
        <f>C97+C104+C106+C108+C110+C115+C117+C119</f>
        <v>5199</v>
      </c>
      <c r="D121" s="48">
        <f>D97+D104+D106+D108+D110+D115+D117+D119</f>
        <v>139357000</v>
      </c>
      <c r="E121" s="48">
        <f>E97+E104+E106+E108+E110+E115+E117+E119</f>
        <v>4667.1841899999999</v>
      </c>
      <c r="F121" s="48">
        <f>F97+F104+F106+F108+F110+F115+F117+F119</f>
        <v>7909.7142500000009</v>
      </c>
      <c r="G121" s="48">
        <f>G97+G104+G106+G108+G110+G115+G117+G119</f>
        <v>12576.898439999997</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6" t="s">
        <v>1013</v>
      </c>
      <c r="E123" s="36"/>
      <c r="F123" s="36"/>
      <c r="G123" s="36"/>
      <c r="H123" s="36"/>
      <c r="I123" s="36"/>
      <c r="J123" s="36"/>
      <c r="K123" s="36"/>
      <c r="L123" s="36"/>
      <c r="M123" s="36"/>
      <c r="N123" s="36"/>
      <c r="O123" s="36"/>
      <c r="P123" s="36"/>
      <c r="Q123" s="36"/>
      <c r="R123" s="36"/>
    </row>
    <row r="124" spans="1:18" x14ac:dyDescent="0.25">
      <c r="A124" s="50" t="s">
        <v>555</v>
      </c>
      <c r="B124" s="87">
        <v>45144.62</v>
      </c>
      <c r="C124" s="543">
        <f>B124*'Energy Content Assumptions'!C33</f>
        <v>40630.158000000003</v>
      </c>
      <c r="D124" s="36"/>
      <c r="E124" s="36"/>
      <c r="F124" s="36"/>
      <c r="G124" s="36"/>
      <c r="H124" s="36"/>
      <c r="I124" s="36"/>
      <c r="J124" s="36"/>
      <c r="K124" s="36"/>
      <c r="L124" s="36"/>
      <c r="M124" s="36"/>
      <c r="N124" s="36"/>
      <c r="O124" s="36"/>
      <c r="P124" s="36"/>
      <c r="Q124" s="36"/>
      <c r="R124" s="36"/>
    </row>
    <row r="125" spans="1:18" x14ac:dyDescent="0.25">
      <c r="A125" s="50" t="s">
        <v>556</v>
      </c>
      <c r="B125" s="87">
        <v>5625.16</v>
      </c>
      <c r="C125" s="543">
        <f>B125*'Energy Content Assumptions'!C34</f>
        <v>5062.6440000000002</v>
      </c>
      <c r="D125" s="36"/>
      <c r="E125" s="36"/>
      <c r="F125" s="36"/>
      <c r="G125" s="36"/>
      <c r="H125" s="36"/>
      <c r="I125" s="36"/>
      <c r="J125" s="36"/>
      <c r="K125" s="36"/>
      <c r="L125" s="36"/>
      <c r="M125" s="36"/>
      <c r="N125" s="36"/>
      <c r="O125" s="36"/>
      <c r="P125" s="36"/>
      <c r="Q125" s="36"/>
      <c r="R125" s="36"/>
    </row>
    <row r="126" spans="1:18" x14ac:dyDescent="0.25">
      <c r="A126" s="50" t="s">
        <v>557</v>
      </c>
      <c r="B126" s="87">
        <v>12709.1</v>
      </c>
      <c r="C126" s="543">
        <f>B126*'Energy Content Assumptions'!C35</f>
        <v>11438.19</v>
      </c>
      <c r="D126" s="36"/>
      <c r="E126" s="36"/>
      <c r="F126" s="36"/>
      <c r="G126" s="36"/>
      <c r="H126" s="36"/>
      <c r="I126" s="36"/>
      <c r="J126" s="36"/>
      <c r="K126" s="36"/>
      <c r="L126" s="36"/>
      <c r="M126" s="36"/>
      <c r="N126" s="36"/>
      <c r="O126" s="36"/>
      <c r="P126" s="36"/>
      <c r="Q126" s="36"/>
      <c r="R126" s="36"/>
    </row>
    <row r="127" spans="1:18" x14ac:dyDescent="0.25">
      <c r="A127" s="50" t="s">
        <v>558</v>
      </c>
      <c r="B127" s="87">
        <v>7752.89</v>
      </c>
      <c r="C127" s="543">
        <f>B127*'Energy Content Assumptions'!C36</f>
        <v>6977.6010000000006</v>
      </c>
      <c r="D127" s="36"/>
      <c r="E127" s="36"/>
      <c r="F127" s="36"/>
      <c r="G127" s="36"/>
      <c r="H127" s="36"/>
      <c r="I127" s="36"/>
      <c r="J127" s="36"/>
      <c r="K127" s="36"/>
      <c r="L127" s="36"/>
      <c r="M127" s="36"/>
      <c r="N127" s="36"/>
      <c r="O127" s="36"/>
      <c r="P127" s="36"/>
      <c r="Q127" s="36"/>
      <c r="R127" s="36"/>
    </row>
    <row r="128" spans="1:18" x14ac:dyDescent="0.25">
      <c r="A128" s="50" t="s">
        <v>559</v>
      </c>
      <c r="B128" s="87">
        <v>33864.14</v>
      </c>
      <c r="C128" s="543">
        <f>B128*'Energy Content Assumptions'!C21</f>
        <v>16932.07</v>
      </c>
      <c r="D128" s="36"/>
      <c r="E128" s="36"/>
      <c r="F128" s="36"/>
      <c r="G128" s="36"/>
      <c r="H128" s="36"/>
      <c r="I128" s="36"/>
      <c r="J128" s="36"/>
      <c r="K128" s="36"/>
      <c r="L128" s="36"/>
      <c r="M128" s="36"/>
      <c r="N128" s="36"/>
      <c r="O128" s="36"/>
      <c r="P128" s="36"/>
      <c r="Q128" s="36"/>
      <c r="R128" s="36"/>
    </row>
    <row r="129" spans="1:18" x14ac:dyDescent="0.25">
      <c r="A129" s="50" t="s">
        <v>560</v>
      </c>
      <c r="B129" s="87">
        <v>17256.37</v>
      </c>
      <c r="C129" s="543">
        <f>B129*'Energy Content Assumptions'!C22</f>
        <v>5752.123333333333</v>
      </c>
      <c r="D129" s="36"/>
      <c r="E129" s="36"/>
      <c r="F129" s="36"/>
      <c r="G129" s="36"/>
      <c r="H129" s="36"/>
      <c r="I129" s="36"/>
      <c r="J129" s="36"/>
      <c r="K129" s="36"/>
      <c r="L129" s="36"/>
      <c r="M129" s="36"/>
      <c r="N129" s="36"/>
      <c r="O129" s="36"/>
      <c r="P129" s="36"/>
      <c r="Q129" s="36"/>
      <c r="R129" s="36"/>
    </row>
    <row r="130" spans="1:18" x14ac:dyDescent="0.25">
      <c r="A130" s="50" t="s">
        <v>561</v>
      </c>
      <c r="B130" s="87">
        <v>34610.589999999997</v>
      </c>
      <c r="C130" s="543">
        <f>B130*'Energy Content Assumptions'!C23</f>
        <v>11536.863333333331</v>
      </c>
      <c r="D130" s="36"/>
      <c r="E130" s="36"/>
      <c r="F130" s="36"/>
      <c r="G130" s="36"/>
      <c r="H130" s="36"/>
      <c r="I130" s="36"/>
      <c r="J130" s="36"/>
      <c r="K130" s="36"/>
      <c r="L130" s="36"/>
      <c r="M130" s="36"/>
      <c r="N130" s="36"/>
      <c r="O130" s="36"/>
      <c r="P130" s="36"/>
      <c r="Q130" s="36"/>
      <c r="R130" s="36"/>
    </row>
    <row r="131" spans="1:18" x14ac:dyDescent="0.25">
      <c r="A131" s="50" t="s">
        <v>562</v>
      </c>
      <c r="B131" s="87">
        <v>1027.29</v>
      </c>
      <c r="C131" s="543">
        <f>B131*'Energy Content Assumptions'!C24</f>
        <v>513.64499999999998</v>
      </c>
      <c r="D131" s="36"/>
      <c r="E131" s="36"/>
      <c r="F131" s="36"/>
      <c r="G131" s="36"/>
      <c r="H131" s="36"/>
      <c r="I131" s="36"/>
      <c r="J131" s="36"/>
      <c r="K131" s="36"/>
      <c r="L131" s="36"/>
      <c r="M131" s="36"/>
      <c r="N131" s="36"/>
      <c r="O131" s="36"/>
      <c r="P131" s="36"/>
      <c r="Q131" s="36"/>
      <c r="R131" s="36"/>
    </row>
    <row r="132" spans="1:18" x14ac:dyDescent="0.25">
      <c r="A132" s="50" t="s">
        <v>563</v>
      </c>
      <c r="B132" s="87">
        <v>30811.35</v>
      </c>
      <c r="C132" s="543">
        <f>B132*'Energy Content Assumptions'!C31</f>
        <v>7702.8374999999996</v>
      </c>
      <c r="D132" s="36"/>
      <c r="E132" s="36"/>
      <c r="F132" s="36"/>
      <c r="G132" s="36"/>
      <c r="H132" s="36"/>
      <c r="I132" s="36"/>
      <c r="J132" s="36"/>
      <c r="K132" s="36"/>
      <c r="L132" s="36"/>
      <c r="M132" s="36"/>
      <c r="N132" s="36"/>
      <c r="O132" s="36"/>
      <c r="P132" s="36"/>
      <c r="Q132" s="36"/>
      <c r="R132" s="36"/>
    </row>
    <row r="133" spans="1:18" x14ac:dyDescent="0.25">
      <c r="A133" s="50" t="s">
        <v>564</v>
      </c>
      <c r="B133" s="87">
        <v>3845.91</v>
      </c>
      <c r="C133" s="543">
        <f>B133*'Energy Content Assumptions'!C19</f>
        <v>3461.319</v>
      </c>
      <c r="D133" s="36"/>
      <c r="E133" s="36"/>
      <c r="F133" s="36"/>
      <c r="G133" s="36"/>
      <c r="H133" s="36"/>
      <c r="I133" s="36"/>
      <c r="J133" s="36"/>
      <c r="K133" s="36"/>
      <c r="L133" s="36"/>
      <c r="M133" s="36"/>
      <c r="N133" s="36"/>
      <c r="O133" s="36"/>
      <c r="P133" s="36"/>
      <c r="Q133" s="36"/>
      <c r="R133" s="36"/>
    </row>
    <row r="134" spans="1:18" x14ac:dyDescent="0.25">
      <c r="A134" s="50" t="s">
        <v>565</v>
      </c>
      <c r="B134" s="87">
        <v>6292.69</v>
      </c>
      <c r="C134" s="543">
        <f>B134*'Energy Content Assumptions'!C32</f>
        <v>5034.152</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Assumptions'!$M$14</f>
        <v>398606.17</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Assumptions'!$F$14</f>
        <v>184038.16</v>
      </c>
      <c r="C138" s="543">
        <f>B138*'Energy Content Assumptions'!$C$28</f>
        <v>92019.08</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Assumptions'!$H$14</f>
        <v>158659</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Assumptions'!$I$14</f>
        <v>25379.160000000003</v>
      </c>
      <c r="C140" s="543">
        <f>B140*'Energy Content Assumptions'!$C$28</f>
        <v>12689.580000000002</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Assumptions'!J14,'Biomass Data Assumptions'!F14*'Biomass Data Assumptions'!I41)</f>
        <v>4014.9831120000008</v>
      </c>
      <c r="C141" s="543">
        <f>B141*'Energy Content Assumptions'!C26</f>
        <v>1204.4949336000002</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Assumptions'!K14,'Biomass Data Assumptions'!F14*'Biomass Data Assumptions'!I42)</f>
        <v>4936.2466200000008</v>
      </c>
      <c r="C142" s="543">
        <f>B142*'Energy Content Assumptions'!C27</f>
        <v>4442.6219580000006</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Assumptions'!L14,'Biomass Data Assumptions'!F14*'Biomass Data Assumptions'!I43)</f>
        <v>6834.6077880000003</v>
      </c>
      <c r="C143" s="543">
        <f>B143*'Energy Content Assumptions'!$C$28</f>
        <v>3417.3038940000001</v>
      </c>
      <c r="D143" s="547" t="s">
        <v>1064</v>
      </c>
      <c r="E143" s="36"/>
      <c r="F143" s="36"/>
      <c r="G143" s="36"/>
      <c r="H143" s="36"/>
      <c r="I143" s="36"/>
      <c r="J143" s="36"/>
      <c r="K143" s="36"/>
      <c r="L143" s="36"/>
      <c r="M143" s="36"/>
      <c r="N143" s="36"/>
      <c r="O143" s="36"/>
      <c r="P143" s="36"/>
      <c r="Q143" s="36"/>
      <c r="R143" s="36"/>
    </row>
    <row r="144" spans="1:18" x14ac:dyDescent="0.25">
      <c r="A144" s="50" t="s">
        <v>463</v>
      </c>
      <c r="B144" s="87">
        <v>33394.19</v>
      </c>
      <c r="C144" s="543">
        <f>B144*'Energy Content Assumptions'!C29</f>
        <v>26715.352000000003</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10686.140800000001</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Assumptions'!R14/2000</f>
        <v>1268.4672000000003</v>
      </c>
      <c r="C148" s="1239">
        <f>B148*'Energy Content Assumptions'!C39</f>
        <v>1078.1971200000003</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Assumptions'!S14/2000</f>
        <v>1927.2052799999999</v>
      </c>
      <c r="C149" s="1239">
        <f>B149*'Energy Content Assumptions'!C40</f>
        <v>96.360264000000001</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86"/>
  <sheetViews>
    <sheetView tabSelected="1" topLeftCell="B19" zoomScale="60" zoomScaleNormal="60" workbookViewId="0">
      <selection activeCell="B2" sqref="B2"/>
    </sheetView>
  </sheetViews>
  <sheetFormatPr defaultColWidth="8.88671875" defaultRowHeight="13.2" x14ac:dyDescent="0.25"/>
  <cols>
    <col min="1" max="1" width="51" customWidth="1"/>
    <col min="2" max="2" width="57.6640625" customWidth="1"/>
    <col min="3" max="20" width="16.6640625" customWidth="1"/>
    <col min="21" max="21" width="14.109375" customWidth="1"/>
    <col min="22" max="23" width="8.88671875" customWidth="1"/>
    <col min="24" max="24" width="48.44140625" customWidth="1"/>
  </cols>
  <sheetData>
    <row r="1" spans="1:24" x14ac:dyDescent="0.25">
      <c r="B1" t="s">
        <v>154</v>
      </c>
      <c r="C1" s="1068" t="s">
        <v>245</v>
      </c>
      <c r="D1" s="1069"/>
      <c r="E1" s="1069"/>
      <c r="F1" s="1069"/>
      <c r="G1" s="1070"/>
      <c r="H1" s="1068" t="s">
        <v>172</v>
      </c>
      <c r="I1" s="1069"/>
      <c r="J1" s="1069"/>
      <c r="K1" s="1069"/>
      <c r="L1" s="1070"/>
      <c r="M1" s="1076" t="s">
        <v>1183</v>
      </c>
      <c r="N1" s="1078" t="s">
        <v>1034</v>
      </c>
      <c r="O1" s="1078"/>
      <c r="P1" s="1078"/>
      <c r="Q1" s="1078"/>
      <c r="R1" s="302"/>
    </row>
    <row r="2" spans="1:24" x14ac:dyDescent="0.25">
      <c r="B2" s="20" t="s">
        <v>369</v>
      </c>
      <c r="C2" s="139">
        <v>2010</v>
      </c>
      <c r="D2" s="81">
        <v>2015</v>
      </c>
      <c r="E2" s="81">
        <v>2020</v>
      </c>
      <c r="F2" s="81">
        <v>2025</v>
      </c>
      <c r="G2" s="140"/>
      <c r="H2" s="139">
        <v>2010</v>
      </c>
      <c r="I2" s="81">
        <v>2015</v>
      </c>
      <c r="J2" s="81">
        <v>2020</v>
      </c>
      <c r="K2" s="81">
        <v>2025</v>
      </c>
      <c r="L2" s="140"/>
      <c r="M2" s="1077"/>
      <c r="N2" s="587">
        <v>2010</v>
      </c>
      <c r="O2" s="587">
        <v>2015</v>
      </c>
      <c r="P2" s="587">
        <v>2020</v>
      </c>
      <c r="Q2" s="587">
        <v>2025</v>
      </c>
      <c r="R2" s="140"/>
      <c r="S2" s="56"/>
      <c r="T2" s="56"/>
    </row>
    <row r="3" spans="1:24" ht="13.8" x14ac:dyDescent="0.25">
      <c r="A3" s="396" t="s">
        <v>269</v>
      </c>
      <c r="B3" s="345" t="s">
        <v>277</v>
      </c>
      <c r="C3" s="346">
        <f>SUM(I14,I32,I46,I52,I70)</f>
        <v>0</v>
      </c>
      <c r="D3" s="347">
        <f>SUM(J14,J32,J46,J52,J70)</f>
        <v>0</v>
      </c>
      <c r="E3" s="347">
        <f>SUM(K14,K32,K46,K52,K70)</f>
        <v>0</v>
      </c>
      <c r="F3" s="347">
        <f>SUM(L14,L32,L46,L52,L70)</f>
        <v>0</v>
      </c>
      <c r="G3" s="348" t="s">
        <v>259</v>
      </c>
      <c r="H3" s="582">
        <f>C3/(8760*0.85)</f>
        <v>0</v>
      </c>
      <c r="I3" s="303">
        <f>D3/(8760*0.85)</f>
        <v>0</v>
      </c>
      <c r="J3" s="303">
        <f>E3/(8760*0.85)</f>
        <v>0</v>
      </c>
      <c r="K3" s="303">
        <f>F3/(8760*0.85)</f>
        <v>0</v>
      </c>
      <c r="L3" s="348" t="s">
        <v>174</v>
      </c>
      <c r="M3" s="630">
        <v>80142845</v>
      </c>
      <c r="N3" s="585">
        <f xml:space="preserve"> C3/M3</f>
        <v>0</v>
      </c>
      <c r="O3" s="585">
        <f xml:space="preserve"> D3/M3</f>
        <v>0</v>
      </c>
      <c r="P3" s="585">
        <f xml:space="preserve"> E3/M3</f>
        <v>0</v>
      </c>
      <c r="Q3" s="585">
        <f xml:space="preserve"> F3/M3</f>
        <v>0</v>
      </c>
      <c r="R3" s="348" t="s">
        <v>259</v>
      </c>
      <c r="S3" s="57"/>
    </row>
    <row r="4" spans="1:24" ht="14.4" thickBot="1" x14ac:dyDescent="0.3">
      <c r="A4" s="396" t="s">
        <v>460</v>
      </c>
      <c r="B4" s="345" t="s">
        <v>277</v>
      </c>
      <c r="C4" s="548">
        <f>SUM(M14,M32,M46,M52,M70)</f>
        <v>0</v>
      </c>
      <c r="D4" s="176">
        <f>SUM(N14,N32,N46,N52,N70)</f>
        <v>0</v>
      </c>
      <c r="E4" s="176">
        <f>SUM(O14,O32,O46,O52,O70)</f>
        <v>0</v>
      </c>
      <c r="F4" s="176">
        <f>SUM(P14,P32,P46,P52,P70)</f>
        <v>0</v>
      </c>
      <c r="G4" s="349" t="s">
        <v>171</v>
      </c>
      <c r="H4" s="583">
        <f>C4/42/(365*0.85)</f>
        <v>0</v>
      </c>
      <c r="I4" s="584">
        <f>D4/42/(365*0.85)</f>
        <v>0</v>
      </c>
      <c r="J4" s="584">
        <f>E4/42/(365*0.85)</f>
        <v>0</v>
      </c>
      <c r="K4" s="584">
        <f>F4/42/(365*0.85)</f>
        <v>0</v>
      </c>
      <c r="L4" s="349" t="s">
        <v>173</v>
      </c>
      <c r="M4" s="631">
        <v>5352761400</v>
      </c>
      <c r="N4" s="586">
        <f xml:space="preserve"> C4/M4</f>
        <v>0</v>
      </c>
      <c r="O4" s="586">
        <f xml:space="preserve"> D4/M4</f>
        <v>0</v>
      </c>
      <c r="P4" s="586">
        <f xml:space="preserve"> E4/M4</f>
        <v>0</v>
      </c>
      <c r="Q4" s="586">
        <f xml:space="preserve"> F4/M4</f>
        <v>0</v>
      </c>
      <c r="R4" s="349" t="s">
        <v>171</v>
      </c>
    </row>
    <row r="5" spans="1:24" x14ac:dyDescent="0.25">
      <c r="F5" t="s">
        <v>154</v>
      </c>
    </row>
    <row r="6" spans="1:24" x14ac:dyDescent="0.25">
      <c r="A6" s="1062" t="s">
        <v>567</v>
      </c>
      <c r="B6" s="1060" t="s">
        <v>506</v>
      </c>
      <c r="C6" s="1062" t="s">
        <v>1035</v>
      </c>
      <c r="D6" s="1062" t="s">
        <v>1051</v>
      </c>
      <c r="E6" s="1083" t="s">
        <v>523</v>
      </c>
      <c r="F6" s="1084"/>
      <c r="G6" s="1084"/>
      <c r="H6" s="1085"/>
      <c r="I6" s="1072" t="s">
        <v>275</v>
      </c>
      <c r="J6" s="1073"/>
      <c r="K6" s="1074"/>
      <c r="L6" s="1075"/>
      <c r="M6" s="1072" t="s">
        <v>274</v>
      </c>
      <c r="N6" s="1073"/>
      <c r="O6" s="1074"/>
      <c r="P6" s="1075"/>
      <c r="Q6" s="1079" t="s">
        <v>1052</v>
      </c>
      <c r="R6" s="1080"/>
      <c r="S6" s="1081"/>
      <c r="T6" s="1082"/>
    </row>
    <row r="7" spans="1:24" ht="39" customHeight="1" x14ac:dyDescent="0.25">
      <c r="A7" s="1063"/>
      <c r="B7" s="1061"/>
      <c r="C7" s="1063"/>
      <c r="D7" s="1071"/>
      <c r="E7" s="22">
        <v>2010</v>
      </c>
      <c r="F7" s="22">
        <v>2015</v>
      </c>
      <c r="G7" s="22">
        <v>2020</v>
      </c>
      <c r="H7" s="22">
        <v>2025</v>
      </c>
      <c r="I7" s="22">
        <v>2010</v>
      </c>
      <c r="J7" s="22">
        <v>2015</v>
      </c>
      <c r="K7" s="22">
        <v>2020</v>
      </c>
      <c r="L7" s="22">
        <v>2025</v>
      </c>
      <c r="M7" s="22">
        <v>2010</v>
      </c>
      <c r="N7" s="22">
        <v>2015</v>
      </c>
      <c r="O7" s="22">
        <v>2020</v>
      </c>
      <c r="P7" s="22">
        <v>2025</v>
      </c>
      <c r="Q7" s="22">
        <v>2010</v>
      </c>
      <c r="R7" s="22">
        <v>2015</v>
      </c>
      <c r="S7" s="22">
        <v>2020</v>
      </c>
      <c r="T7" s="22">
        <v>2025</v>
      </c>
    </row>
    <row r="8" spans="1:24" x14ac:dyDescent="0.25">
      <c r="A8" s="1064" t="s">
        <v>513</v>
      </c>
      <c r="B8" s="1" t="s">
        <v>511</v>
      </c>
      <c r="C8" s="7"/>
      <c r="D8" s="7"/>
      <c r="E8" s="7"/>
      <c r="F8" s="7"/>
      <c r="G8" s="7"/>
      <c r="H8" s="7"/>
      <c r="I8" s="7"/>
      <c r="J8" s="7"/>
      <c r="K8" s="7"/>
      <c r="L8" s="7"/>
      <c r="M8" s="7"/>
      <c r="N8" s="7"/>
      <c r="O8" s="7"/>
      <c r="P8" s="7"/>
      <c r="Q8" s="7"/>
      <c r="R8" s="7"/>
      <c r="S8" s="7"/>
      <c r="T8" s="7"/>
      <c r="X8" s="56" t="s">
        <v>457</v>
      </c>
    </row>
    <row r="9" spans="1:24" x14ac:dyDescent="0.25">
      <c r="A9" s="1064"/>
      <c r="B9" s="11" t="str">
        <f>Atlantic!B6</f>
        <v>Sorghum</v>
      </c>
      <c r="C9" s="294">
        <f>SUM(Atlantic!C6,Bergen!C6,Burlington!C6,Camden!C6,'Cape May'!C6,Cumberland!C6,Essex!C6,Gloucester!C6,Hudson!C6,Hunterdon!C6,Mercer!C6,Middlesex!C6,Monmouth!C6,Morris!C6,Ocean!C6,Passaic!C6,Salem!C6,Somerset!C6,Sussex!C6,Union!C6,Warren!C6)</f>
        <v>7465.3571999999995</v>
      </c>
      <c r="D9" s="294" t="s">
        <v>431</v>
      </c>
      <c r="E9" s="294">
        <f>SUM(Atlantic!E6,Bergen!E6,Burlington!E6,Camden!E6,'Cape May'!E6,Cumberland!E6,Essex!E6,Gloucester!E6,Hudson!E6,Hunterdon!E6,Mercer!E6,Middlesex!E6,Monmouth!E6,Morris!E6,Ocean!E6,Passaic!E6,Salem!E6,Somerset!E6,Sussex!E6,Union!E6,Warren!E6)</f>
        <v>0</v>
      </c>
      <c r="F9" s="294">
        <f>SUM(Atlantic!F6,Bergen!F6,Burlington!F6,Camden!F6,'Cape May'!F6,Cumberland!F6,Essex!F6,Gloucester!F6,Hudson!F6,Hunterdon!F6,Mercer!F6,Middlesex!F6,Monmouth!F6,Morris!F6,Ocean!F6,Passaic!F6,Salem!F6,Somerset!F6,Sussex!F6,Union!F6,Warren!F6)</f>
        <v>0</v>
      </c>
      <c r="G9" s="294">
        <f>SUM(Atlantic!G6,Bergen!G6,Burlington!G6,Camden!G6,'Cape May'!G6,Cumberland!G6,Essex!G6,Gloucester!G6,Hudson!G6,Hunterdon!G6,Mercer!G6,Middlesex!G6,Monmouth!G6,Morris!G6,Ocean!G6,Passaic!G6,Salem!G6,Somerset!G6,Sussex!G6,Union!G6,Warren!G6)</f>
        <v>0</v>
      </c>
      <c r="H9" s="294">
        <f>SUM(Atlantic!H6,Bergen!H6,Burlington!H6,Camden!H6,'Cape May'!H6,Cumberland!H6,Essex!H6,Gloucester!H6,Hudson!H6,Hunterdon!H6,Mercer!H6,Middlesex!H6,Monmouth!H6,Morris!H6,Ocean!H6,Passaic!H6,Salem!H6,Somerset!H6,Sussex!H6,Union!H6,Warren!H6)</f>
        <v>0</v>
      </c>
      <c r="I9" s="16">
        <f>SUM(Atlantic!I6,Bergen!I6,Burlington!I6,Camden!I6,'Cape May'!I6,Cumberland!I6,Essex!I6,Gloucester!I6,Hudson!I6,Hunterdon!I6,Mercer!I6,Middlesex!I6,Monmouth!I6,Morris!I6,Ocean!I6,Passaic!I6,Salem!I6,Somerset!I6,Sussex!I6,Union!I6,Warren!I6)</f>
        <v>0</v>
      </c>
      <c r="J9" s="16">
        <f>SUM(Atlantic!J6,Bergen!J6,Burlington!J6,Camden!J6,'Cape May'!J6,Cumberland!J6,Essex!J6,Gloucester!J6,Hudson!J6,Hunterdon!J6,Mercer!J6,Middlesex!J6,Monmouth!J6,Morris!J6,Ocean!J6,Passaic!J6,Salem!J6,Somerset!J6,Sussex!J6,Union!J6,Warren!J6)</f>
        <v>0</v>
      </c>
      <c r="K9" s="16">
        <f>SUM(Atlantic!K6,Bergen!K6,Burlington!K6,Camden!K6,'Cape May'!K6,Cumberland!K6,Essex!K6,Gloucester!K6,Hudson!K6,Hunterdon!K6,Mercer!K6,Middlesex!K6,Monmouth!K6,Morris!K6,Ocean!K6,Passaic!K6,Salem!K6,Somerset!K6,Sussex!K6,Union!K6,Warren!K6)</f>
        <v>0</v>
      </c>
      <c r="L9" s="16">
        <f>SUM(Atlantic!L6,Bergen!L6,Burlington!L6,Camden!L6,'Cape May'!L6,Cumberland!L6,Essex!L6,Gloucester!L6,Hudson!L6,Hunterdon!L6,Mercer!L6,Middlesex!L6,Monmouth!L6,Morris!L6,Ocean!L6,Passaic!L6,Salem!L6,Somerset!L6,Sussex!L6,Union!L6,Warren!L6)</f>
        <v>0</v>
      </c>
      <c r="M9" s="16">
        <f>SUM(Atlantic!M6,Bergen!M6,Burlington!M6,Camden!M6,'Cape May'!M6,Cumberland!M6,Essex!M6,Gloucester!M6,Hudson!M6,Hunterdon!M6,Mercer!M6,Middlesex!M6,Monmouth!M6,Morris!M6,Ocean!M6,Passaic!M6,Salem!M6,Somerset!M6,Sussex!M6,Union!M6,Warren!M6)</f>
        <v>0</v>
      </c>
      <c r="N9" s="16">
        <f>SUM(Atlantic!N6,Bergen!N6,Burlington!N6,Camden!N6,'Cape May'!N6,Cumberland!N6,Essex!N6,Gloucester!N6,Hudson!N6,Hunterdon!N6,Mercer!N6,Middlesex!N6,Monmouth!N6,Morris!N6,Ocean!N6,Passaic!N6,Salem!N6,Somerset!N6,Sussex!N6,Union!N6,Warren!N6)</f>
        <v>0</v>
      </c>
      <c r="O9" s="16">
        <f>SUM(Atlantic!O6,Bergen!O6,Burlington!O6,Camden!O6,'Cape May'!O6,Cumberland!O6,Essex!O6,Gloucester!O6,Hudson!O6,Hunterdon!O6,Mercer!O6,Middlesex!O6,Monmouth!O6,Morris!O6,Ocean!O6,Passaic!O6,Salem!O6,Somerset!O6,Sussex!O6,Union!O6,Warren!O6)</f>
        <v>0</v>
      </c>
      <c r="P9" s="16">
        <f>SUM(Atlantic!P6,Bergen!P6,Burlington!P6,Camden!P6,'Cape May'!P6,Cumberland!P6,Essex!P6,Gloucester!P6,Hudson!P6,Hunterdon!P6,Mercer!P6,Middlesex!P6,Monmouth!P6,Morris!P6,Ocean!P6,Passaic!P6,Salem!P6,Somerset!P6,Sussex!P6,Union!P6,Warren!P6)</f>
        <v>0</v>
      </c>
      <c r="Q9" s="16">
        <f>IF($B$4=$X$19,M9*'Technology Assumptions'!B$34,IF('Bioenergy Calculator'!$B$4='Bioenergy Calculator'!$X$21,M9*'Technology Assumptions'!B$34,IF('Bioenergy Calculator'!$B$4='Bioenergy Calculator'!$X$20,'Bioenergy Calculator'!M9*'Technology Assumptions'!B$36,IF('Bioenergy Calculator'!$B$4='Bioenergy Calculator'!$X$23,'Bioenergy Calculator'!M9*'Technology Assumptions'!B$35,IF('Bioenergy Calculator'!$B$4='Bioenergy Calculator'!$X$22,'Bioenergy Calculator'!M9*'Technology Assumptions'!B$37,'Bioenergy Calculator'!M9)))))</f>
        <v>0</v>
      </c>
      <c r="R9" s="16">
        <f>IF($B$4=$X$19,N9*'Technology Assumptions'!C$34,IF('Bioenergy Calculator'!$B$4='Bioenergy Calculator'!$X$21,N9*'Technology Assumptions'!C$34,IF('Bioenergy Calculator'!$B$4='Bioenergy Calculator'!$X$20,'Bioenergy Calculator'!N9*'Technology Assumptions'!C$36,IF('Bioenergy Calculator'!$B$4='Bioenergy Calculator'!$X$23,'Bioenergy Calculator'!N9*'Technology Assumptions'!C$35,IF('Bioenergy Calculator'!$B$4='Bioenergy Calculator'!$X$22,'Bioenergy Calculator'!N9*'Technology Assumptions'!C$37,'Bioenergy Calculator'!N9)))))</f>
        <v>0</v>
      </c>
      <c r="S9" s="16">
        <f>IF($B$4=$X$19,O9*'Technology Assumptions'!D$34,IF('Bioenergy Calculator'!$B$4='Bioenergy Calculator'!$X$21,O9*'Technology Assumptions'!D$34,IF('Bioenergy Calculator'!$B$4='Bioenergy Calculator'!$X$20,'Bioenergy Calculator'!O9*'Technology Assumptions'!D$36,IF('Bioenergy Calculator'!$B$4='Bioenergy Calculator'!$X$23,'Bioenergy Calculator'!O9*'Technology Assumptions'!D$35,IF('Bioenergy Calculator'!$B$4='Bioenergy Calculator'!$X$22,'Bioenergy Calculator'!O9*'Technology Assumptions'!D$37,'Bioenergy Calculator'!O9)))))</f>
        <v>0</v>
      </c>
      <c r="T9" s="16">
        <f>IF($B$4=$X$19,P9*'Technology Assumptions'!E$34,IF('Bioenergy Calculator'!$B$4='Bioenergy Calculator'!$X$21,P9*'Technology Assumptions'!E$34,IF('Bioenergy Calculator'!$B$4='Bioenergy Calculator'!$X$20,'Bioenergy Calculator'!P9*'Technology Assumptions'!E$36,IF('Bioenergy Calculator'!$B$4='Bioenergy Calculator'!$X$23,'Bioenergy Calculator'!P9*'Technology Assumptions'!E$35,IF('Bioenergy Calculator'!$B$4='Bioenergy Calculator'!$X$22,'Bioenergy Calculator'!P9*'Technology Assumptions'!E$37,'Bioenergy Calculator'!P9)))))</f>
        <v>0</v>
      </c>
      <c r="X9" s="57" t="s">
        <v>366</v>
      </c>
    </row>
    <row r="10" spans="1:24" x14ac:dyDescent="0.25">
      <c r="A10" s="1064"/>
      <c r="B10" s="11" t="str">
        <f>Atlantic!B7</f>
        <v>Rye</v>
      </c>
      <c r="C10" s="294">
        <f>SUM(Atlantic!C7,Bergen!C7,Burlington!C7,Camden!C7,'Cape May'!C7,Cumberland!C7,Essex!C7,Gloucester!C7,Hudson!C7,Hunterdon!C7,Mercer!C7,Middlesex!C7,Monmouth!C7,Morris!C7,Ocean!C7,Passaic!C7,Salem!C7,Somerset!C7,Sussex!C7,Union!C7,Warren!C7)</f>
        <v>8030.0220000000018</v>
      </c>
      <c r="D10" s="294" t="s">
        <v>431</v>
      </c>
      <c r="E10" s="294">
        <f>SUM(Atlantic!E7,Bergen!E7,Burlington!E7,Camden!E7,'Cape May'!E7,Cumberland!E7,Essex!E7,Gloucester!E7,Hudson!E7,Hunterdon!E7,Mercer!E7,Middlesex!E7,Monmouth!E7,Morris!E7,Ocean!E7,Passaic!E7,Salem!E7,Somerset!E7,Sussex!E7,Union!E7,Warren!E7)</f>
        <v>0</v>
      </c>
      <c r="F10" s="294">
        <f>SUM(Atlantic!F7,Bergen!F7,Burlington!F7,Camden!F7,'Cape May'!F7,Cumberland!F7,Essex!F7,Gloucester!F7,Hudson!F7,Hunterdon!F7,Mercer!F7,Middlesex!F7,Monmouth!F7,Morris!F7,Ocean!F7,Passaic!F7,Salem!F7,Somerset!F7,Sussex!F7,Union!F7,Warren!F7)</f>
        <v>0</v>
      </c>
      <c r="G10" s="294">
        <f>SUM(Atlantic!G7,Bergen!G7,Burlington!G7,Camden!G7,'Cape May'!G7,Cumberland!G7,Essex!G7,Gloucester!G7,Hudson!G7,Hunterdon!G7,Mercer!G7,Middlesex!G7,Monmouth!G7,Morris!G7,Ocean!G7,Passaic!G7,Salem!G7,Somerset!G7,Sussex!G7,Union!G7,Warren!G7)</f>
        <v>0</v>
      </c>
      <c r="H10" s="294">
        <f>SUM(Atlantic!H7,Bergen!H7,Burlington!H7,Camden!H7,'Cape May'!H7,Cumberland!H7,Essex!H7,Gloucester!H7,Hudson!H7,Hunterdon!H7,Mercer!H7,Middlesex!H7,Monmouth!H7,Morris!H7,Ocean!H7,Passaic!H7,Salem!H7,Somerset!H7,Sussex!H7,Union!H7,Warren!H7)</f>
        <v>0</v>
      </c>
      <c r="I10" s="16">
        <f>SUM(Atlantic!I7,Bergen!I7,Burlington!I7,Camden!I7,'Cape May'!I7,Cumberland!I7,Essex!I7,Gloucester!I7,Hudson!I7,Hunterdon!I7,Mercer!I7,Middlesex!I7,Monmouth!I7,Morris!I7,Ocean!I7,Passaic!I7,Salem!I7,Somerset!I7,Sussex!I7,Union!I7,Warren!I7)</f>
        <v>0</v>
      </c>
      <c r="J10" s="16">
        <f>SUM(Atlantic!J7,Bergen!J7,Burlington!J7,Camden!J7,'Cape May'!J7,Cumberland!J7,Essex!J7,Gloucester!J7,Hudson!J7,Hunterdon!J7,Mercer!J7,Middlesex!J7,Monmouth!J7,Morris!J7,Ocean!J7,Passaic!J7,Salem!J7,Somerset!J7,Sussex!J7,Union!J7,Warren!J7)</f>
        <v>0</v>
      </c>
      <c r="K10" s="16">
        <f>SUM(Atlantic!K7,Bergen!K7,Burlington!K7,Camden!K7,'Cape May'!K7,Cumberland!K7,Essex!K7,Gloucester!K7,Hudson!K7,Hunterdon!K7,Mercer!K7,Middlesex!K7,Monmouth!K7,Morris!K7,Ocean!K7,Passaic!K7,Salem!K7,Somerset!K7,Sussex!K7,Union!K7,Warren!K7)</f>
        <v>0</v>
      </c>
      <c r="L10" s="16">
        <f>SUM(Atlantic!L7,Bergen!L7,Burlington!L7,Camden!L7,'Cape May'!L7,Cumberland!L7,Essex!L7,Gloucester!L7,Hudson!L7,Hunterdon!L7,Mercer!L7,Middlesex!L7,Monmouth!L7,Morris!L7,Ocean!L7,Passaic!L7,Salem!L7,Somerset!L7,Sussex!L7,Union!L7,Warren!L7)</f>
        <v>0</v>
      </c>
      <c r="M10" s="16">
        <f>SUM(Atlantic!M7,Bergen!M7,Burlington!M7,Camden!M7,'Cape May'!M7,Cumberland!M7,Essex!M7,Gloucester!M7,Hudson!M7,Hunterdon!M7,Mercer!M7,Middlesex!M7,Monmouth!M7,Morris!M7,Ocean!M7,Passaic!M7,Salem!M7,Somerset!M7,Sussex!M7,Union!M7,Warren!M7)</f>
        <v>0</v>
      </c>
      <c r="N10" s="16">
        <f>SUM(Atlantic!N7,Bergen!N7,Burlington!N7,Camden!N7,'Cape May'!N7,Cumberland!N7,Essex!N7,Gloucester!N7,Hudson!N7,Hunterdon!N7,Mercer!N7,Middlesex!N7,Monmouth!N7,Morris!N7,Ocean!N7,Passaic!N7,Salem!N7,Somerset!N7,Sussex!N7,Union!N7,Warren!N7)</f>
        <v>0</v>
      </c>
      <c r="O10" s="16">
        <f>SUM(Atlantic!O7,Bergen!O7,Burlington!O7,Camden!O7,'Cape May'!O7,Cumberland!O7,Essex!O7,Gloucester!O7,Hudson!O7,Hunterdon!O7,Mercer!O7,Middlesex!O7,Monmouth!O7,Morris!O7,Ocean!O7,Passaic!O7,Salem!O7,Somerset!O7,Sussex!O7,Union!O7,Warren!O7)</f>
        <v>0</v>
      </c>
      <c r="P10" s="16">
        <f>SUM(Atlantic!P7,Bergen!P7,Burlington!P7,Camden!P7,'Cape May'!P7,Cumberland!P7,Essex!P7,Gloucester!P7,Hudson!P7,Hunterdon!P7,Mercer!P7,Middlesex!P7,Monmouth!P7,Morris!P7,Ocean!P7,Passaic!P7,Salem!P7,Somerset!P7,Sussex!P7,Union!P7,Warren!P7)</f>
        <v>0</v>
      </c>
      <c r="Q10" s="16">
        <f>IF($B$4=$X$19,M10*'Technology Assumptions'!B$34,IF('Bioenergy Calculator'!$B$4='Bioenergy Calculator'!$X$21,M10*'Technology Assumptions'!B$34,IF('Bioenergy Calculator'!$B$4='Bioenergy Calculator'!$X$20,'Bioenergy Calculator'!M10*'Technology Assumptions'!B$36,IF('Bioenergy Calculator'!$B$4='Bioenergy Calculator'!$X$23,'Bioenergy Calculator'!M10*'Technology Assumptions'!B$35,IF('Bioenergy Calculator'!$B$4='Bioenergy Calculator'!$X$22,'Bioenergy Calculator'!M10*'Technology Assumptions'!B$37,'Bioenergy Calculator'!M10)))))</f>
        <v>0</v>
      </c>
      <c r="R10" s="16">
        <f>IF($B$4=$X$19,N10*'Technology Assumptions'!C$34,IF('Bioenergy Calculator'!$B$4='Bioenergy Calculator'!$X$21,N10*'Technology Assumptions'!C$34,IF('Bioenergy Calculator'!$B$4='Bioenergy Calculator'!$X$20,'Bioenergy Calculator'!N10*'Technology Assumptions'!C$36,IF('Bioenergy Calculator'!$B$4='Bioenergy Calculator'!$X$23,'Bioenergy Calculator'!N10*'Technology Assumptions'!C$35,IF('Bioenergy Calculator'!$B$4='Bioenergy Calculator'!$X$22,'Bioenergy Calculator'!N10*'Technology Assumptions'!C$37,'Bioenergy Calculator'!N10)))))</f>
        <v>0</v>
      </c>
      <c r="S10" s="16">
        <f>IF($B$4=$X$19,O10*'Technology Assumptions'!D$34,IF('Bioenergy Calculator'!$B$4='Bioenergy Calculator'!$X$21,O10*'Technology Assumptions'!D$34,IF('Bioenergy Calculator'!$B$4='Bioenergy Calculator'!$X$20,'Bioenergy Calculator'!O10*'Technology Assumptions'!D$36,IF('Bioenergy Calculator'!$B$4='Bioenergy Calculator'!$X$23,'Bioenergy Calculator'!O10*'Technology Assumptions'!D$35,IF('Bioenergy Calculator'!$B$4='Bioenergy Calculator'!$X$22,'Bioenergy Calculator'!O10*'Technology Assumptions'!D$37,'Bioenergy Calculator'!O10)))))</f>
        <v>0</v>
      </c>
      <c r="T10" s="16">
        <f>IF($B$4=$X$19,P10*'Technology Assumptions'!E$34,IF('Bioenergy Calculator'!$B$4='Bioenergy Calculator'!$X$21,P10*'Technology Assumptions'!E$34,IF('Bioenergy Calculator'!$B$4='Bioenergy Calculator'!$X$20,'Bioenergy Calculator'!P10*'Technology Assumptions'!E$36,IF('Bioenergy Calculator'!$B$4='Bioenergy Calculator'!$X$23,'Bioenergy Calculator'!P10*'Technology Assumptions'!E$35,IF('Bioenergy Calculator'!$B$4='Bioenergy Calculator'!$X$22,'Bioenergy Calculator'!P10*'Technology Assumptions'!E$37,'Bioenergy Calculator'!P10)))))</f>
        <v>0</v>
      </c>
      <c r="X10" t="s">
        <v>367</v>
      </c>
    </row>
    <row r="11" spans="1:24" x14ac:dyDescent="0.25">
      <c r="A11" s="1064"/>
      <c r="B11" s="11" t="str">
        <f>Atlantic!B8</f>
        <v>Corn for Grain</v>
      </c>
      <c r="C11" s="294">
        <f>SUM(Atlantic!C8,Bergen!C8,Burlington!C8,Camden!C8,'Cape May'!C8,Cumberland!C8,Essex!C8,Gloucester!C8,Hudson!C8,Hunterdon!C8,Mercer!C8,Middlesex!C8,Monmouth!C8,Morris!C8,Ocean!C8,Passaic!C8,Salem!C8,Somerset!C8,Sussex!C8,Union!C8,Warren!C8)</f>
        <v>217668.5</v>
      </c>
      <c r="D11" s="294" t="s">
        <v>431</v>
      </c>
      <c r="E11" s="294">
        <f>SUM(Atlantic!E8,Bergen!E8,Burlington!E8,Camden!E8,'Cape May'!E8,Cumberland!E8,Essex!E8,Gloucester!E8,Hudson!E8,Hunterdon!E8,Mercer!E8,Middlesex!E8,Monmouth!E8,Morris!E8,Ocean!E8,Passaic!E8,Salem!E8,Somerset!E8,Sussex!E8,Union!E8,Warren!E8)</f>
        <v>0</v>
      </c>
      <c r="F11" s="294">
        <f>SUM(Atlantic!F8,Bergen!F8,Burlington!F8,Camden!F8,'Cape May'!F8,Cumberland!F8,Essex!F8,Gloucester!F8,Hudson!F8,Hunterdon!F8,Mercer!F8,Middlesex!F8,Monmouth!F8,Morris!F8,Ocean!F8,Passaic!F8,Salem!F8,Somerset!F8,Sussex!F8,Union!F8,Warren!F8)</f>
        <v>0</v>
      </c>
      <c r="G11" s="294">
        <f>SUM(Atlantic!G8,Bergen!G8,Burlington!G8,Camden!G8,'Cape May'!G8,Cumberland!G8,Essex!G8,Gloucester!G8,Hudson!G8,Hunterdon!G8,Mercer!G8,Middlesex!G8,Monmouth!G8,Morris!G8,Ocean!G8,Passaic!G8,Salem!G8,Somerset!G8,Sussex!G8,Union!G8,Warren!G8)</f>
        <v>0</v>
      </c>
      <c r="H11" s="294">
        <f>SUM(Atlantic!H8,Bergen!H8,Burlington!H8,Camden!H8,'Cape May'!H8,Cumberland!H8,Essex!H8,Gloucester!H8,Hudson!H8,Hunterdon!H8,Mercer!H8,Middlesex!H8,Monmouth!H8,Morris!H8,Ocean!H8,Passaic!H8,Salem!H8,Somerset!H8,Sussex!H8,Union!H8,Warren!H8)</f>
        <v>0</v>
      </c>
      <c r="I11" s="16">
        <f>SUM(Atlantic!I8,Bergen!I8,Burlington!I8,Camden!I8,'Cape May'!I8,Cumberland!I8,Essex!I8,Gloucester!I8,Hudson!I8,Hunterdon!I8,Mercer!I8,Middlesex!I8,Monmouth!I8,Morris!I8,Ocean!I8,Passaic!I8,Salem!I8,Somerset!I8,Sussex!I8,Union!I8,Warren!I8)</f>
        <v>0</v>
      </c>
      <c r="J11" s="16">
        <f>SUM(Atlantic!J8,Bergen!J8,Burlington!J8,Camden!J8,'Cape May'!J8,Cumberland!J8,Essex!J8,Gloucester!J8,Hudson!J8,Hunterdon!J8,Mercer!J8,Middlesex!J8,Monmouth!J8,Morris!J8,Ocean!J8,Passaic!J8,Salem!J8,Somerset!J8,Sussex!J8,Union!J8,Warren!J8)</f>
        <v>0</v>
      </c>
      <c r="K11" s="16">
        <f>SUM(Atlantic!K8,Bergen!K8,Burlington!K8,Camden!K8,'Cape May'!K8,Cumberland!K8,Essex!K8,Gloucester!K8,Hudson!K8,Hunterdon!K8,Mercer!K8,Middlesex!K8,Monmouth!K8,Morris!K8,Ocean!K8,Passaic!K8,Salem!K8,Somerset!K8,Sussex!K8,Union!K8,Warren!K8)</f>
        <v>0</v>
      </c>
      <c r="L11" s="16">
        <f>SUM(Atlantic!L8,Bergen!L8,Burlington!L8,Camden!L8,'Cape May'!L8,Cumberland!L8,Essex!L8,Gloucester!L8,Hudson!L8,Hunterdon!L8,Mercer!L8,Middlesex!L8,Monmouth!L8,Morris!L8,Ocean!L8,Passaic!L8,Salem!L8,Somerset!L8,Sussex!L8,Union!L8,Warren!L8)</f>
        <v>0</v>
      </c>
      <c r="M11" s="16">
        <f>SUM(Atlantic!M8,Bergen!M8,Burlington!M8,Camden!M8,'Cape May'!M8,Cumberland!M8,Essex!M8,Gloucester!M8,Hudson!M8,Hunterdon!M8,Mercer!M8,Middlesex!M8,Monmouth!M8,Morris!M8,Ocean!M8,Passaic!M8,Salem!M8,Somerset!M8,Sussex!M8,Union!M8,Warren!M8)</f>
        <v>0</v>
      </c>
      <c r="N11" s="16">
        <f>SUM(Atlantic!N8,Bergen!N8,Burlington!N8,Camden!N8,'Cape May'!N8,Cumberland!N8,Essex!N8,Gloucester!N8,Hudson!N8,Hunterdon!N8,Mercer!N8,Middlesex!N8,Monmouth!N8,Morris!N8,Ocean!N8,Passaic!N8,Salem!N8,Somerset!N8,Sussex!N8,Union!N8,Warren!N8)</f>
        <v>0</v>
      </c>
      <c r="O11" s="16">
        <f>SUM(Atlantic!O8,Bergen!O8,Burlington!O8,Camden!O8,'Cape May'!O8,Cumberland!O8,Essex!O8,Gloucester!O8,Hudson!O8,Hunterdon!O8,Mercer!O8,Middlesex!O8,Monmouth!O8,Morris!O8,Ocean!O8,Passaic!O8,Salem!O8,Somerset!O8,Sussex!O8,Union!O8,Warren!O8)</f>
        <v>0</v>
      </c>
      <c r="P11" s="16">
        <f>SUM(Atlantic!P8,Bergen!P8,Burlington!P8,Camden!P8,'Cape May'!P8,Cumberland!P8,Essex!P8,Gloucester!P8,Hudson!P8,Hunterdon!P8,Mercer!P8,Middlesex!P8,Monmouth!P8,Morris!P8,Ocean!P8,Passaic!P8,Salem!P8,Somerset!P8,Sussex!P8,Union!P8,Warren!P8)</f>
        <v>0</v>
      </c>
      <c r="Q11" s="16">
        <f>IF($B$4=$X$19,M11*'Technology Assumptions'!B$34,IF('Bioenergy Calculator'!$B$4='Bioenergy Calculator'!$X$21,M11*'Technology Assumptions'!B$34,IF('Bioenergy Calculator'!$B$4='Bioenergy Calculator'!$X$20,'Bioenergy Calculator'!M11*'Technology Assumptions'!B$36,IF('Bioenergy Calculator'!$B$4='Bioenergy Calculator'!$X$23,'Bioenergy Calculator'!M11*'Technology Assumptions'!B$35,IF('Bioenergy Calculator'!$B$4='Bioenergy Calculator'!$X$22,'Bioenergy Calculator'!M11*'Technology Assumptions'!B$37,'Bioenergy Calculator'!M11)))))</f>
        <v>0</v>
      </c>
      <c r="R11" s="16">
        <f>IF($B$4=$X$19,N11*'Technology Assumptions'!C$34,IF('Bioenergy Calculator'!$B$4='Bioenergy Calculator'!$X$21,N11*'Technology Assumptions'!C$34,IF('Bioenergy Calculator'!$B$4='Bioenergy Calculator'!$X$20,'Bioenergy Calculator'!N11*'Technology Assumptions'!C$36,IF('Bioenergy Calculator'!$B$4='Bioenergy Calculator'!$X$23,'Bioenergy Calculator'!N11*'Technology Assumptions'!C$35,IF('Bioenergy Calculator'!$B$4='Bioenergy Calculator'!$X$22,'Bioenergy Calculator'!N11*'Technology Assumptions'!C$37,'Bioenergy Calculator'!N11)))))</f>
        <v>0</v>
      </c>
      <c r="S11" s="16">
        <f>IF($B$4=$X$19,O11*'Technology Assumptions'!D$34,IF('Bioenergy Calculator'!$B$4='Bioenergy Calculator'!$X$21,O11*'Technology Assumptions'!D$34,IF('Bioenergy Calculator'!$B$4='Bioenergy Calculator'!$X$20,'Bioenergy Calculator'!O11*'Technology Assumptions'!D$36,IF('Bioenergy Calculator'!$B$4='Bioenergy Calculator'!$X$23,'Bioenergy Calculator'!O11*'Technology Assumptions'!D$35,IF('Bioenergy Calculator'!$B$4='Bioenergy Calculator'!$X$22,'Bioenergy Calculator'!O11*'Technology Assumptions'!D$37,'Bioenergy Calculator'!O11)))))</f>
        <v>0</v>
      </c>
      <c r="T11" s="16">
        <f>IF($B$4=$X$19,P11*'Technology Assumptions'!E$34,IF('Bioenergy Calculator'!$B$4='Bioenergy Calculator'!$X$21,P11*'Technology Assumptions'!E$34,IF('Bioenergy Calculator'!$B$4='Bioenergy Calculator'!$X$20,'Bioenergy Calculator'!P11*'Technology Assumptions'!E$36,IF('Bioenergy Calculator'!$B$4='Bioenergy Calculator'!$X$23,'Bioenergy Calculator'!P11*'Technology Assumptions'!E$35,IF('Bioenergy Calculator'!$B$4='Bioenergy Calculator'!$X$22,'Bioenergy Calculator'!P11*'Technology Assumptions'!E$37,'Bioenergy Calculator'!P11)))))</f>
        <v>0</v>
      </c>
      <c r="X11" t="s">
        <v>453</v>
      </c>
    </row>
    <row r="12" spans="1:24" x14ac:dyDescent="0.25">
      <c r="A12" s="1064"/>
      <c r="B12" s="11" t="str">
        <f>Atlantic!B9</f>
        <v>Wheat</v>
      </c>
      <c r="C12" s="294">
        <f>SUM(Atlantic!C9,Bergen!C9,Burlington!C9,Camden!C9,'Cape May'!C9,Cumberland!C9,Essex!C9,Gloucester!C9,Hudson!C9,Hunterdon!C9,Mercer!C9,Middlesex!C9,Monmouth!C9,Morris!C9,Ocean!C9,Passaic!C9,Salem!C9,Somerset!C9,Sussex!C9,Union!C9,Warren!C9)</f>
        <v>42085.979999999996</v>
      </c>
      <c r="D12" s="294" t="s">
        <v>431</v>
      </c>
      <c r="E12" s="294">
        <f>SUM(Atlantic!E9,Bergen!E9,Burlington!E9,Camden!E9,'Cape May'!E9,Cumberland!E9,Essex!E9,Gloucester!E9,Hudson!E9,Hunterdon!E9,Mercer!E9,Middlesex!E9,Monmouth!E9,Morris!E9,Ocean!E9,Passaic!E9,Salem!E9,Somerset!E9,Sussex!E9,Union!E9,Warren!E9)</f>
        <v>0</v>
      </c>
      <c r="F12" s="294">
        <f>SUM(Atlantic!F9,Bergen!F9,Burlington!F9,Camden!F9,'Cape May'!F9,Cumberland!F9,Essex!F9,Gloucester!F9,Hudson!F9,Hunterdon!F9,Mercer!F9,Middlesex!F9,Monmouth!F9,Morris!F9,Ocean!F9,Passaic!F9,Salem!F9,Somerset!F9,Sussex!F9,Union!F9,Warren!F9)</f>
        <v>0</v>
      </c>
      <c r="G12" s="294">
        <f>SUM(Atlantic!G9,Bergen!G9,Burlington!G9,Camden!G9,'Cape May'!G9,Cumberland!G9,Essex!G9,Gloucester!G9,Hudson!G9,Hunterdon!G9,Mercer!G9,Middlesex!G9,Monmouth!G9,Morris!G9,Ocean!G9,Passaic!G9,Salem!G9,Somerset!G9,Sussex!G9,Union!G9,Warren!G9)</f>
        <v>0</v>
      </c>
      <c r="H12" s="294">
        <f>SUM(Atlantic!H9,Bergen!H9,Burlington!H9,Camden!H9,'Cape May'!H9,Cumberland!H9,Essex!H9,Gloucester!H9,Hudson!H9,Hunterdon!H9,Mercer!H9,Middlesex!H9,Monmouth!H9,Morris!H9,Ocean!H9,Passaic!H9,Salem!H9,Somerset!H9,Sussex!H9,Union!H9,Warren!H9)</f>
        <v>0</v>
      </c>
      <c r="I12" s="16">
        <f>SUM(Atlantic!I9,Bergen!I9,Burlington!I9,Camden!I9,'Cape May'!I9,Cumberland!I9,Essex!I9,Gloucester!I9,Hudson!I9,Hunterdon!I9,Mercer!I9,Middlesex!I9,Monmouth!I9,Morris!I9,Ocean!I9,Passaic!I9,Salem!I9,Somerset!I9,Sussex!I9,Union!I9,Warren!I9)</f>
        <v>0</v>
      </c>
      <c r="J12" s="16">
        <f>SUM(Atlantic!J9,Bergen!J9,Burlington!J9,Camden!J9,'Cape May'!J9,Cumberland!J9,Essex!J9,Gloucester!J9,Hudson!J9,Hunterdon!J9,Mercer!J9,Middlesex!J9,Monmouth!J9,Morris!J9,Ocean!J9,Passaic!J9,Salem!J9,Somerset!J9,Sussex!J9,Union!J9,Warren!J9)</f>
        <v>0</v>
      </c>
      <c r="K12" s="16">
        <f>SUM(Atlantic!K9,Bergen!K9,Burlington!K9,Camden!K9,'Cape May'!K9,Cumberland!K9,Essex!K9,Gloucester!K9,Hudson!K9,Hunterdon!K9,Mercer!K9,Middlesex!K9,Monmouth!K9,Morris!K9,Ocean!K9,Passaic!K9,Salem!K9,Somerset!K9,Sussex!K9,Union!K9,Warren!K9)</f>
        <v>0</v>
      </c>
      <c r="L12" s="16">
        <f>SUM(Atlantic!L9,Bergen!L9,Burlington!L9,Camden!L9,'Cape May'!L9,Cumberland!L9,Essex!L9,Gloucester!L9,Hudson!L9,Hunterdon!L9,Mercer!L9,Middlesex!L9,Monmouth!L9,Morris!L9,Ocean!L9,Passaic!L9,Salem!L9,Somerset!L9,Sussex!L9,Union!L9,Warren!L9)</f>
        <v>0</v>
      </c>
      <c r="M12" s="16">
        <f>SUM(Atlantic!M9,Bergen!M9,Burlington!M9,Camden!M9,'Cape May'!M9,Cumberland!M9,Essex!M9,Gloucester!M9,Hudson!M9,Hunterdon!M9,Mercer!M9,Middlesex!M9,Monmouth!M9,Morris!M9,Ocean!M9,Passaic!M9,Salem!M9,Somerset!M9,Sussex!M9,Union!M9,Warren!M9)</f>
        <v>0</v>
      </c>
      <c r="N12" s="16">
        <f>SUM(Atlantic!N9,Bergen!N9,Burlington!N9,Camden!N9,'Cape May'!N9,Cumberland!N9,Essex!N9,Gloucester!N9,Hudson!N9,Hunterdon!N9,Mercer!N9,Middlesex!N9,Monmouth!N9,Morris!N9,Ocean!N9,Passaic!N9,Salem!N9,Somerset!N9,Sussex!N9,Union!N9,Warren!N9)</f>
        <v>0</v>
      </c>
      <c r="O12" s="16">
        <f>SUM(Atlantic!O9,Bergen!O9,Burlington!O9,Camden!O9,'Cape May'!O9,Cumberland!O9,Essex!O9,Gloucester!O9,Hudson!O9,Hunterdon!O9,Mercer!O9,Middlesex!O9,Monmouth!O9,Morris!O9,Ocean!O9,Passaic!O9,Salem!O9,Somerset!O9,Sussex!O9,Union!O9,Warren!O9)</f>
        <v>0</v>
      </c>
      <c r="P12" s="16">
        <f>SUM(Atlantic!P9,Bergen!P9,Burlington!P9,Camden!P9,'Cape May'!P9,Cumberland!P9,Essex!P9,Gloucester!P9,Hudson!P9,Hunterdon!P9,Mercer!P9,Middlesex!P9,Monmouth!P9,Morris!P9,Ocean!P9,Passaic!P9,Salem!P9,Somerset!P9,Sussex!P9,Union!P9,Warren!P9)</f>
        <v>0</v>
      </c>
      <c r="Q12" s="16">
        <f>IF($B$4=$X$19,M12*'Technology Assumptions'!B$34,IF('Bioenergy Calculator'!$B$4='Bioenergy Calculator'!$X$21,M12*'Technology Assumptions'!B$34,IF('Bioenergy Calculator'!$B$4='Bioenergy Calculator'!$X$20,'Bioenergy Calculator'!M12*'Technology Assumptions'!B$36,IF('Bioenergy Calculator'!$B$4='Bioenergy Calculator'!$X$23,'Bioenergy Calculator'!M12*'Technology Assumptions'!B$35,IF('Bioenergy Calculator'!$B$4='Bioenergy Calculator'!$X$22,'Bioenergy Calculator'!M12*'Technology Assumptions'!B$37,'Bioenergy Calculator'!M12)))))</f>
        <v>0</v>
      </c>
      <c r="R12" s="16">
        <f>IF($B$4=$X$19,N12*'Technology Assumptions'!C$34,IF('Bioenergy Calculator'!$B$4='Bioenergy Calculator'!$X$21,N12*'Technology Assumptions'!C$34,IF('Bioenergy Calculator'!$B$4='Bioenergy Calculator'!$X$20,'Bioenergy Calculator'!N12*'Technology Assumptions'!C$36,IF('Bioenergy Calculator'!$B$4='Bioenergy Calculator'!$X$23,'Bioenergy Calculator'!N12*'Technology Assumptions'!C$35,IF('Bioenergy Calculator'!$B$4='Bioenergy Calculator'!$X$22,'Bioenergy Calculator'!N12*'Technology Assumptions'!C$37,'Bioenergy Calculator'!N12)))))</f>
        <v>0</v>
      </c>
      <c r="S12" s="16">
        <f>IF($B$4=$X$19,O12*'Technology Assumptions'!D$34,IF('Bioenergy Calculator'!$B$4='Bioenergy Calculator'!$X$21,O12*'Technology Assumptions'!D$34,IF('Bioenergy Calculator'!$B$4='Bioenergy Calculator'!$X$20,'Bioenergy Calculator'!O12*'Technology Assumptions'!D$36,IF('Bioenergy Calculator'!$B$4='Bioenergy Calculator'!$X$23,'Bioenergy Calculator'!O12*'Technology Assumptions'!D$35,IF('Bioenergy Calculator'!$B$4='Bioenergy Calculator'!$X$22,'Bioenergy Calculator'!O12*'Technology Assumptions'!D$37,'Bioenergy Calculator'!O12)))))</f>
        <v>0</v>
      </c>
      <c r="T12" s="16">
        <f>IF($B$4=$X$19,P12*'Technology Assumptions'!E$34,IF('Bioenergy Calculator'!$B$4='Bioenergy Calculator'!$X$21,P12*'Technology Assumptions'!E$34,IF('Bioenergy Calculator'!$B$4='Bioenergy Calculator'!$X$20,'Bioenergy Calculator'!P12*'Technology Assumptions'!E$36,IF('Bioenergy Calculator'!$B$4='Bioenergy Calculator'!$X$23,'Bioenergy Calculator'!P12*'Technology Assumptions'!E$35,IF('Bioenergy Calculator'!$B$4='Bioenergy Calculator'!$X$22,'Bioenergy Calculator'!P12*'Technology Assumptions'!E$37,'Bioenergy Calculator'!P12)))))</f>
        <v>0</v>
      </c>
      <c r="X12" t="s">
        <v>368</v>
      </c>
    </row>
    <row r="13" spans="1:24" x14ac:dyDescent="0.25">
      <c r="A13" s="1064"/>
      <c r="B13" s="129" t="s">
        <v>301</v>
      </c>
      <c r="C13" s="294">
        <f>SUM(Atlantic!C10,Bergen!C10,Burlington!C10,Camden!C10,'Cape May'!C10,Cumberland!C10,Essex!C10,Gloucester!C10,Hudson!C10,Hunterdon!C10,Mercer!C10,Middlesex!C10,Monmouth!C10,Morris!C10,Ocean!C10,Passaic!C10,Salem!C10,Somerset!C10,Sussex!C10,Union!C10,Warren!C10)</f>
        <v>0</v>
      </c>
      <c r="D13" s="294" t="s">
        <v>431</v>
      </c>
      <c r="E13" s="294">
        <f>SUM(Atlantic!E10,Bergen!E10,Burlington!E10,Camden!E10,'Cape May'!E10,Cumberland!E10,Essex!E10,Gloucester!E10,Hudson!E10,Hunterdon!E10,Mercer!E10,Middlesex!E10,Monmouth!E10,Morris!E10,Ocean!E10,Passaic!E10,Salem!E10,Somerset!E10,Sussex!E10,Union!E10,Warren!E10)</f>
        <v>0</v>
      </c>
      <c r="F13" s="294">
        <f>SUM(Atlantic!F10,Bergen!F10,Burlington!F10,Camden!F10,'Cape May'!F10,Cumberland!F10,Essex!F10,Gloucester!F10,Hudson!F10,Hunterdon!F10,Mercer!F10,Middlesex!F10,Monmouth!F10,Morris!F10,Ocean!F10,Passaic!F10,Salem!F10,Somerset!F10,Sussex!F10,Union!F10,Warren!F10)</f>
        <v>0</v>
      </c>
      <c r="G13" s="294">
        <f>SUM(Atlantic!G10,Bergen!G10,Burlington!G10,Camden!G10,'Cape May'!G10,Cumberland!G10,Essex!G10,Gloucester!G10,Hudson!G10,Hunterdon!G10,Mercer!G10,Middlesex!G10,Monmouth!G10,Morris!G10,Ocean!G10,Passaic!G10,Salem!G10,Somerset!G10,Sussex!G10,Union!G10,Warren!G10)</f>
        <v>0</v>
      </c>
      <c r="H13" s="294">
        <f>SUM(Atlantic!H10,Bergen!H10,Burlington!H10,Camden!H10,'Cape May'!H10,Cumberland!H10,Essex!H10,Gloucester!H10,Hudson!H10,Hunterdon!H10,Mercer!H10,Middlesex!H10,Monmouth!H10,Morris!H10,Ocean!H10,Passaic!H10,Salem!H10,Somerset!H10,Sussex!H10,Union!H10,Warren!H10)</f>
        <v>0</v>
      </c>
      <c r="I13" s="16">
        <f>SUM(Atlantic!I10,Bergen!I10,Burlington!I10,Camden!I10,'Cape May'!I10,Cumberland!I10,Essex!I10,Gloucester!I10,Hudson!I10,Hunterdon!I10,Mercer!I10,Middlesex!I10,Monmouth!I10,Morris!I10,Ocean!I10,Passaic!I10,Salem!I10,Somerset!I10,Sussex!I10,Union!I10,Warren!I10)</f>
        <v>0</v>
      </c>
      <c r="J13" s="16">
        <f>SUM(Atlantic!J10,Bergen!J10,Burlington!J10,Camden!J10,'Cape May'!J10,Cumberland!J10,Essex!J10,Gloucester!J10,Hudson!J10,Hunterdon!J10,Mercer!J10,Middlesex!J10,Monmouth!J10,Morris!J10,Ocean!J10,Passaic!J10,Salem!J10,Somerset!J10,Sussex!J10,Union!J10,Warren!J10)</f>
        <v>0</v>
      </c>
      <c r="K13" s="16">
        <f>SUM(Atlantic!K10,Bergen!K10,Burlington!K10,Camden!K10,'Cape May'!K10,Cumberland!K10,Essex!K10,Gloucester!K10,Hudson!K10,Hunterdon!K10,Mercer!K10,Middlesex!K10,Monmouth!K10,Morris!K10,Ocean!K10,Passaic!K10,Salem!K10,Somerset!K10,Sussex!K10,Union!K10,Warren!K10)</f>
        <v>0</v>
      </c>
      <c r="L13" s="16">
        <f>SUM(Atlantic!L10,Bergen!L10,Burlington!L10,Camden!L10,'Cape May'!L10,Cumberland!L10,Essex!L10,Gloucester!L10,Hudson!L10,Hunterdon!L10,Mercer!L10,Middlesex!L10,Monmouth!L10,Morris!L10,Ocean!L10,Passaic!L10,Salem!L10,Somerset!L10,Sussex!L10,Union!L10,Warren!L10)</f>
        <v>0</v>
      </c>
      <c r="M13" s="16">
        <f>SUM(Atlantic!M10,Bergen!M10,Burlington!M10,Camden!M10,'Cape May'!M10,Cumberland!M10,Essex!M10,Gloucester!M10,Hudson!M10,Hunterdon!M10,Mercer!M10,Middlesex!M10,Monmouth!M10,Morris!M10,Ocean!M10,Passaic!M10,Salem!M10,Somerset!M10,Sussex!M10,Union!M10,Warren!M10)</f>
        <v>0</v>
      </c>
      <c r="N13" s="16">
        <f>SUM(Atlantic!N10,Bergen!N10,Burlington!N10,Camden!N10,'Cape May'!N10,Cumberland!N10,Essex!N10,Gloucester!N10,Hudson!N10,Hunterdon!N10,Mercer!N10,Middlesex!N10,Monmouth!N10,Morris!N10,Ocean!N10,Passaic!N10,Salem!N10,Somerset!N10,Sussex!N10,Union!N10,Warren!N10)</f>
        <v>0</v>
      </c>
      <c r="O13" s="16">
        <f>SUM(Atlantic!O10,Bergen!O10,Burlington!O10,Camden!O10,'Cape May'!O10,Cumberland!O10,Essex!O10,Gloucester!O10,Hudson!O10,Hunterdon!O10,Mercer!O10,Middlesex!O10,Monmouth!O10,Morris!O10,Ocean!O10,Passaic!O10,Salem!O10,Somerset!O10,Sussex!O10,Union!O10,Warren!O10)</f>
        <v>0</v>
      </c>
      <c r="P13" s="16">
        <f>SUM(Atlantic!P10,Bergen!P10,Burlington!P10,Camden!P10,'Cape May'!P10,Cumberland!P10,Essex!P10,Gloucester!P10,Hudson!P10,Hunterdon!P10,Mercer!P10,Middlesex!P10,Monmouth!P10,Morris!P10,Ocean!P10,Passaic!P10,Salem!P10,Somerset!P10,Sussex!P10,Union!P10,Warren!P10)</f>
        <v>0</v>
      </c>
      <c r="Q13" s="16">
        <f>IF($B$4=$X$19,M13*'Technology Assumptions'!B$34,IF('Bioenergy Calculator'!$B$4='Bioenergy Calculator'!$X$21,M13*'Technology Assumptions'!B$34,IF('Bioenergy Calculator'!$B$4='Bioenergy Calculator'!$X$20,'Bioenergy Calculator'!M13*'Technology Assumptions'!B$36,IF('Bioenergy Calculator'!$B$4='Bioenergy Calculator'!$X$23,'Bioenergy Calculator'!M13*'Technology Assumptions'!B$35,IF('Bioenergy Calculator'!$B$4='Bioenergy Calculator'!$X$22,'Bioenergy Calculator'!M13*'Technology Assumptions'!B$37,'Bioenergy Calculator'!M13)))))</f>
        <v>0</v>
      </c>
      <c r="R13" s="16">
        <f>IF($B$4=$X$19,N13*'Technology Assumptions'!C$34,IF('Bioenergy Calculator'!$B$4='Bioenergy Calculator'!$X$21,N13*'Technology Assumptions'!C$34,IF('Bioenergy Calculator'!$B$4='Bioenergy Calculator'!$X$20,'Bioenergy Calculator'!N13*'Technology Assumptions'!C$36,IF('Bioenergy Calculator'!$B$4='Bioenergy Calculator'!$X$23,'Bioenergy Calculator'!N13*'Technology Assumptions'!C$35,IF('Bioenergy Calculator'!$B$4='Bioenergy Calculator'!$X$22,'Bioenergy Calculator'!N13*'Technology Assumptions'!C$37,'Bioenergy Calculator'!N13)))))</f>
        <v>0</v>
      </c>
      <c r="S13" s="16">
        <f>IF($B$4=$X$19,O13*'Technology Assumptions'!D$34,IF('Bioenergy Calculator'!$B$4='Bioenergy Calculator'!$X$21,O13*'Technology Assumptions'!D$34,IF('Bioenergy Calculator'!$B$4='Bioenergy Calculator'!$X$20,'Bioenergy Calculator'!O13*'Technology Assumptions'!D$36,IF('Bioenergy Calculator'!$B$4='Bioenergy Calculator'!$X$23,'Bioenergy Calculator'!O13*'Technology Assumptions'!D$35,IF('Bioenergy Calculator'!$B$4='Bioenergy Calculator'!$X$22,'Bioenergy Calculator'!O13*'Technology Assumptions'!D$37,'Bioenergy Calculator'!O13)))))</f>
        <v>0</v>
      </c>
      <c r="T13" s="16">
        <f>IF($B$4=$X$19,P13*'Technology Assumptions'!E$34,IF('Bioenergy Calculator'!$B$4='Bioenergy Calculator'!$X$21,P13*'Technology Assumptions'!E$34,IF('Bioenergy Calculator'!$B$4='Bioenergy Calculator'!$X$20,'Bioenergy Calculator'!P13*'Technology Assumptions'!E$36,IF('Bioenergy Calculator'!$B$4='Bioenergy Calculator'!$X$23,'Bioenergy Calculator'!P13*'Technology Assumptions'!E$35,IF('Bioenergy Calculator'!$B$4='Bioenergy Calculator'!$X$22,'Bioenergy Calculator'!P13*'Technology Assumptions'!E$37,'Bioenergy Calculator'!P13)))))</f>
        <v>0</v>
      </c>
      <c r="X13" t="s">
        <v>454</v>
      </c>
    </row>
    <row r="14" spans="1:24" x14ac:dyDescent="0.25">
      <c r="A14" s="1065"/>
      <c r="B14" s="9" t="s">
        <v>524</v>
      </c>
      <c r="C14" s="295">
        <f t="shared" ref="C14:P14" si="0">SUM(C8:C13)</f>
        <v>275249.85920000001</v>
      </c>
      <c r="D14" s="295">
        <f>SUM(D8:D13)</f>
        <v>0</v>
      </c>
      <c r="E14" s="295">
        <f t="shared" si="0"/>
        <v>0</v>
      </c>
      <c r="F14" s="295">
        <f>SUM(F8:F13)</f>
        <v>0</v>
      </c>
      <c r="G14" s="295">
        <f>SUM(G8:G13)</f>
        <v>0</v>
      </c>
      <c r="H14" s="295">
        <f>SUM(H8:H13)</f>
        <v>0</v>
      </c>
      <c r="I14" s="19">
        <f t="shared" si="0"/>
        <v>0</v>
      </c>
      <c r="J14" s="19"/>
      <c r="K14" s="19">
        <f t="shared" si="0"/>
        <v>0</v>
      </c>
      <c r="L14" s="19">
        <f t="shared" si="0"/>
        <v>0</v>
      </c>
      <c r="M14" s="19">
        <f t="shared" si="0"/>
        <v>0</v>
      </c>
      <c r="N14" s="19">
        <f t="shared" si="0"/>
        <v>0</v>
      </c>
      <c r="O14" s="19">
        <f t="shared" si="0"/>
        <v>0</v>
      </c>
      <c r="P14" s="19">
        <f t="shared" si="0"/>
        <v>0</v>
      </c>
      <c r="Q14" s="16">
        <f>IF($B$4=$X$19,M14*'Technology Assumptions'!B$34,IF('Bioenergy Calculator'!$B$4='Bioenergy Calculator'!$X$21,M14*'Technology Assumptions'!B$34,IF('Bioenergy Calculator'!$B$4='Bioenergy Calculator'!$X$20,'Bioenergy Calculator'!M14*'Technology Assumptions'!B$36,IF('Bioenergy Calculator'!$B$4='Bioenergy Calculator'!$X$23,'Bioenergy Calculator'!M14*'Technology Assumptions'!B$35,IF('Bioenergy Calculator'!$B$4='Bioenergy Calculator'!$X$22,'Bioenergy Calculator'!M14*'Technology Assumptions'!B$37,'Bioenergy Calculator'!M14)))))</f>
        <v>0</v>
      </c>
      <c r="R14" s="16">
        <f>IF($B$4=$X$19,N14*'Technology Assumptions'!C$34,IF('Bioenergy Calculator'!$B$4='Bioenergy Calculator'!$X$21,N14*'Technology Assumptions'!C$34,IF('Bioenergy Calculator'!$B$4='Bioenergy Calculator'!$X$20,'Bioenergy Calculator'!N14*'Technology Assumptions'!C$36,IF('Bioenergy Calculator'!$B$4='Bioenergy Calculator'!$X$23,'Bioenergy Calculator'!N14*'Technology Assumptions'!C$35,IF('Bioenergy Calculator'!$B$4='Bioenergy Calculator'!$X$22,'Bioenergy Calculator'!N14*'Technology Assumptions'!C$37,'Bioenergy Calculator'!N14)))))</f>
        <v>0</v>
      </c>
      <c r="S14" s="16">
        <f>IF($B$4=$X$19,O14*'Technology Assumptions'!D$34,IF('Bioenergy Calculator'!$B$4='Bioenergy Calculator'!$X$21,O14*'Technology Assumptions'!D$34,IF('Bioenergy Calculator'!$B$4='Bioenergy Calculator'!$X$20,'Bioenergy Calculator'!O14*'Technology Assumptions'!D$36,IF('Bioenergy Calculator'!$B$4='Bioenergy Calculator'!$X$23,'Bioenergy Calculator'!O14*'Technology Assumptions'!D$35,IF('Bioenergy Calculator'!$B$4='Bioenergy Calculator'!$X$22,'Bioenergy Calculator'!O14*'Technology Assumptions'!D$37,'Bioenergy Calculator'!O14)))))</f>
        <v>0</v>
      </c>
      <c r="T14" s="16">
        <f>IF($B$4=$X$19,P14*'Technology Assumptions'!E$34,IF('Bioenergy Calculator'!$B$4='Bioenergy Calculator'!$X$21,P14*'Technology Assumptions'!E$34,IF('Bioenergy Calculator'!$B$4='Bioenergy Calculator'!$X$20,'Bioenergy Calculator'!P14*'Technology Assumptions'!E$36,IF('Bioenergy Calculator'!$B$4='Bioenergy Calculator'!$X$23,'Bioenergy Calculator'!P14*'Technology Assumptions'!E$35,IF('Bioenergy Calculator'!$B$4='Bioenergy Calculator'!$X$22,'Bioenergy Calculator'!P14*'Technology Assumptions'!E$37,'Bioenergy Calculator'!P14)))))</f>
        <v>0</v>
      </c>
      <c r="X14" t="s">
        <v>455</v>
      </c>
    </row>
    <row r="15" spans="1:24" x14ac:dyDescent="0.25">
      <c r="A15" s="589"/>
      <c r="B15" s="590"/>
      <c r="C15" s="591"/>
      <c r="D15" s="591"/>
      <c r="E15" s="591"/>
      <c r="F15" s="591"/>
      <c r="G15" s="591"/>
      <c r="H15" s="591"/>
      <c r="I15" s="592"/>
      <c r="J15" s="592"/>
      <c r="K15" s="592"/>
      <c r="L15" s="592"/>
      <c r="M15" s="592"/>
      <c r="N15" s="592"/>
      <c r="O15" s="592"/>
      <c r="P15" s="592"/>
      <c r="Q15" s="593"/>
      <c r="R15" s="593"/>
      <c r="S15" s="593"/>
      <c r="T15" s="593"/>
      <c r="X15" t="s">
        <v>456</v>
      </c>
    </row>
    <row r="16" spans="1:24" x14ac:dyDescent="0.25">
      <c r="A16" s="1064" t="s">
        <v>514</v>
      </c>
      <c r="B16" s="1" t="s">
        <v>507</v>
      </c>
      <c r="C16" s="294">
        <f>SUM(Atlantic!C13,Bergen!C13,Burlington!C13,Camden!C13,'Cape May'!C13,Cumberland!C13,Essex!C13,Gloucester!C13,Hudson!C13,Hunterdon!C13,Mercer!C13,Middlesex!C13,Monmouth!C13,Morris!C13,Ocean!C13,Passaic!C13,Salem!C13,Somerset!C13,Sussex!C13,Union!C13,Warren!C13)</f>
        <v>0</v>
      </c>
      <c r="D16" s="294">
        <f>E16*'Conversion Tables'!C12</f>
        <v>0</v>
      </c>
      <c r="E16" s="294">
        <f>SUM(Atlantic!E13,Bergen!E13,Burlington!E13,Camden!E13,'Cape May'!E13,Cumberland!E13,Essex!E13,Gloucester!E13,Hudson!E13,Hunterdon!E13,Mercer!E13,Middlesex!E13,Monmouth!E13,Morris!E13,Ocean!E13,Passaic!E13,Salem!E13,Somerset!E13,Sussex!E13,Union!E13,Warren!E13)</f>
        <v>0</v>
      </c>
      <c r="F16" s="294">
        <f>SUM(Atlantic!F13,Bergen!F13,Burlington!F13,Camden!F13,'Cape May'!F13,Cumberland!F13,Essex!F13,Gloucester!F13,Hudson!F13,Hunterdon!F13,Mercer!F13,Middlesex!F13,Monmouth!F13,Morris!F13,Ocean!F13,Passaic!F13,Salem!F13,Somerset!F13,Sussex!F13,Union!F13,Warren!F13)</f>
        <v>0</v>
      </c>
      <c r="G16" s="294">
        <f>SUM(Atlantic!G13,Bergen!G13,Burlington!G13,Camden!G13,'Cape May'!G13,Cumberland!G13,Essex!G13,Gloucester!G13,Hudson!G13,Hunterdon!G13,Mercer!G13,Middlesex!G13,Monmouth!G13,Morris!G13,Ocean!G13,Passaic!G13,Salem!G13,Somerset!G13,Sussex!G13,Union!G13,Warren!G13)</f>
        <v>0</v>
      </c>
      <c r="H16" s="294">
        <f>SUM(Atlantic!H13,Bergen!H13,Burlington!H13,Camden!H13,'Cape May'!H13,Cumberland!H13,Essex!H13,Gloucester!H13,Hudson!H13,Hunterdon!H13,Mercer!H13,Middlesex!H13,Monmouth!H13,Morris!H13,Ocean!H13,Passaic!H13,Salem!H13,Somerset!H13,Sussex!H13,Union!H13,Warren!H13)</f>
        <v>0</v>
      </c>
      <c r="I16" s="16">
        <f>SUM(Atlantic!I13,Bergen!I13,Burlington!I13,Camden!I13,'Cape May'!I13,Cumberland!I13,Essex!I13,Gloucester!I13,Hudson!I13,Hunterdon!I13,Mercer!I13,Middlesex!I13,Monmouth!I13,Morris!I13,Ocean!I13,Passaic!I13,Salem!I13,Somerset!I13,Sussex!I13,Union!I13,Warren!I13)</f>
        <v>0</v>
      </c>
      <c r="J16" s="16">
        <f>SUM(Atlantic!J13,Bergen!J13,Burlington!J13,Camden!J13,'Cape May'!J13,Cumberland!J13,Essex!J13,Gloucester!J13,Hudson!J13,Hunterdon!J13,Mercer!J13,Middlesex!J13,Monmouth!J13,Morris!J13,Ocean!J13,Passaic!J13,Salem!J13,Somerset!J13,Sussex!J13,Union!J13,Warren!J13)</f>
        <v>0</v>
      </c>
      <c r="K16" s="16">
        <f>SUM(Atlantic!K13,Bergen!K13,Burlington!K13,Camden!K13,'Cape May'!K13,Cumberland!K13,Essex!K13,Gloucester!K13,Hudson!K13,Hunterdon!K13,Mercer!K13,Middlesex!K13,Monmouth!K13,Morris!K13,Ocean!K13,Passaic!K13,Salem!K13,Somerset!K13,Sussex!K13,Union!K13,Warren!K13)</f>
        <v>0</v>
      </c>
      <c r="L16" s="16">
        <f>SUM(Atlantic!L13,Bergen!L13,Burlington!L13,Camden!L13,'Cape May'!L13,Cumberland!L13,Essex!L13,Gloucester!L13,Hudson!L13,Hunterdon!L13,Mercer!L13,Middlesex!L13,Monmouth!L13,Morris!L13,Ocean!L13,Passaic!L13,Salem!L13,Somerset!L13,Sussex!L13,Union!L13,Warren!L13)</f>
        <v>0</v>
      </c>
      <c r="M16" s="16">
        <f>SUM(Atlantic!M13,Bergen!M13,Burlington!M13,Camden!M13,'Cape May'!M13,Cumberland!M13,Essex!M13,Gloucester!M13,Hudson!M13,Hunterdon!M13,Mercer!M13,Middlesex!M13,Monmouth!M13,Morris!M13,Ocean!M13,Passaic!M13,Salem!M13,Somerset!M13,Sussex!M13,Union!M13,Warren!M13)</f>
        <v>0</v>
      </c>
      <c r="N16" s="16">
        <f>SUM(Atlantic!N13,Bergen!N13,Burlington!N13,Camden!N13,'Cape May'!N13,Cumberland!N13,Essex!N13,Gloucester!N13,Hudson!N13,Hunterdon!N13,Mercer!N13,Middlesex!N13,Monmouth!N13,Morris!N13,Ocean!N13,Passaic!N13,Salem!N13,Somerset!N13,Sussex!N13,Union!N13,Warren!N13)</f>
        <v>0</v>
      </c>
      <c r="O16" s="16">
        <f>SUM(Atlantic!O13,Bergen!O13,Burlington!O13,Camden!O13,'Cape May'!O13,Cumberland!O13,Essex!O13,Gloucester!O13,Hudson!O13,Hunterdon!O13,Mercer!O13,Middlesex!O13,Monmouth!O13,Morris!O13,Ocean!O13,Passaic!O13,Salem!O13,Somerset!O13,Sussex!O13,Union!O13,Warren!O13)</f>
        <v>0</v>
      </c>
      <c r="P16" s="16">
        <f>SUM(Atlantic!P13,Bergen!P13,Burlington!P13,Camden!P13,'Cape May'!P13,Cumberland!P13,Essex!P13,Gloucester!P13,Hudson!P13,Hunterdon!P13,Mercer!P13,Middlesex!P13,Monmouth!P13,Morris!P13,Ocean!P13,Passaic!P13,Salem!P13,Somerset!P13,Sussex!P13,Union!P13,Warren!P13)</f>
        <v>0</v>
      </c>
      <c r="Q16" s="16">
        <f>IF($B$4=$X$19,M16*'Technology Assumptions'!B$34,IF('Bioenergy Calculator'!$B$4='Bioenergy Calculator'!$X$21,M16*'Technology Assumptions'!B$34,IF('Bioenergy Calculator'!$B$4='Bioenergy Calculator'!$X$20,'Bioenergy Calculator'!M16*'Technology Assumptions'!B$36,IF('Bioenergy Calculator'!$B$4='Bioenergy Calculator'!$X$23,'Bioenergy Calculator'!M16*'Technology Assumptions'!B$35,IF('Bioenergy Calculator'!$B$4='Bioenergy Calculator'!$X$22,'Bioenergy Calculator'!M16*'Technology Assumptions'!B$37,'Bioenergy Calculator'!M16)))))</f>
        <v>0</v>
      </c>
      <c r="R16" s="16">
        <f>IF($B$4=$X$19,N16*'Technology Assumptions'!C$34,IF('Bioenergy Calculator'!$B$4='Bioenergy Calculator'!$X$21,N16*'Technology Assumptions'!C$34,IF('Bioenergy Calculator'!$B$4='Bioenergy Calculator'!$X$20,'Bioenergy Calculator'!N16*'Technology Assumptions'!C$36,IF('Bioenergy Calculator'!$B$4='Bioenergy Calculator'!$X$23,'Bioenergy Calculator'!N16*'Technology Assumptions'!C$35,IF('Bioenergy Calculator'!$B$4='Bioenergy Calculator'!$X$22,'Bioenergy Calculator'!N16*'Technology Assumptions'!C$37,'Bioenergy Calculator'!N16)))))</f>
        <v>0</v>
      </c>
      <c r="S16" s="16">
        <f>IF($B$4=$X$19,O16*'Technology Assumptions'!D$34,IF('Bioenergy Calculator'!$B$4='Bioenergy Calculator'!$X$21,O16*'Technology Assumptions'!D$34,IF('Bioenergy Calculator'!$B$4='Bioenergy Calculator'!$X$20,'Bioenergy Calculator'!O16*'Technology Assumptions'!D$36,IF('Bioenergy Calculator'!$B$4='Bioenergy Calculator'!$X$23,'Bioenergy Calculator'!O16*'Technology Assumptions'!D$35,IF('Bioenergy Calculator'!$B$4='Bioenergy Calculator'!$X$22,'Bioenergy Calculator'!O16*'Technology Assumptions'!D$37,'Bioenergy Calculator'!O16)))))</f>
        <v>0</v>
      </c>
      <c r="T16" s="16">
        <f>IF($B$4=$X$19,P16*'Technology Assumptions'!E$34,IF('Bioenergy Calculator'!$B$4='Bioenergy Calculator'!$X$21,P16*'Technology Assumptions'!E$34,IF('Bioenergy Calculator'!$B$4='Bioenergy Calculator'!$X$20,'Bioenergy Calculator'!P16*'Technology Assumptions'!E$36,IF('Bioenergy Calculator'!$B$4='Bioenergy Calculator'!$X$23,'Bioenergy Calculator'!P16*'Technology Assumptions'!E$35,IF('Bioenergy Calculator'!$B$4='Bioenergy Calculator'!$X$22,'Bioenergy Calculator'!P16*'Technology Assumptions'!E$37,'Bioenergy Calculator'!P16)))))</f>
        <v>0</v>
      </c>
      <c r="X16" t="s">
        <v>277</v>
      </c>
    </row>
    <row r="17" spans="1:24" x14ac:dyDescent="0.25">
      <c r="A17" s="1065"/>
      <c r="B17" s="130" t="s">
        <v>1314</v>
      </c>
      <c r="C17" s="294"/>
      <c r="D17" s="294"/>
      <c r="E17" s="294"/>
      <c r="F17" s="294"/>
      <c r="G17" s="294"/>
      <c r="H17" s="294"/>
      <c r="I17" s="16"/>
      <c r="J17" s="16"/>
      <c r="K17" s="16"/>
      <c r="L17" s="16"/>
      <c r="M17" s="16"/>
      <c r="N17" s="16"/>
      <c r="O17" s="16"/>
      <c r="P17" s="16"/>
      <c r="Q17" s="16"/>
      <c r="R17" s="16"/>
      <c r="S17" s="16"/>
      <c r="T17" s="16"/>
    </row>
    <row r="18" spans="1:24" x14ac:dyDescent="0.25">
      <c r="A18" s="1065"/>
      <c r="B18" s="11" t="str">
        <f>Atlantic!B15</f>
        <v>Sweet Corn</v>
      </c>
      <c r="C18" s="294">
        <f>SUM(Atlantic!C15,Bergen!C15,Burlington!C15,Camden!C15,'Cape May'!C15,Cumberland!C15,Essex!C15,Gloucester!C15,Hudson!C15,Hunterdon!C15,Mercer!C15,Middlesex!C15,Monmouth!C15,Morris!C15,Ocean!C15,Passaic!C15,Salem!C15,Somerset!C15,Sussex!C15,Union!C15,Warren!C15)</f>
        <v>5257.25</v>
      </c>
      <c r="D18" s="294">
        <f>E18*'Conversion Tables'!C14</f>
        <v>66165.645600000003</v>
      </c>
      <c r="E18" s="294">
        <f>SUM(Atlantic!E15,Bergen!E15,Burlington!E15,Camden!E15,'Cape May'!E15,Cumberland!E15,Essex!E15,Gloucester!E15,Hudson!E15,Hunterdon!E15,Mercer!E15,Middlesex!E15,Monmouth!E15,Morris!E15,Ocean!E15,Passaic!E15,Salem!E15,Somerset!E15,Sussex!E15,Union!E15,Warren!E15)</f>
        <v>4205.8</v>
      </c>
      <c r="F18" s="294">
        <f>SUM(Atlantic!F15,Bergen!F15,Burlington!F15,Camden!F15,'Cape May'!F15,Cumberland!F15,Essex!F15,Gloucester!F15,Hudson!F15,Hunterdon!F15,Mercer!F15,Middlesex!F15,Monmouth!F15,Morris!F15,Ocean!F15,Passaic!F15,Salem!F15,Somerset!F15,Sussex!F15,Union!F15,Warren!F15)</f>
        <v>4205.8</v>
      </c>
      <c r="G18" s="294">
        <f>SUM(Atlantic!G15,Bergen!G15,Burlington!G15,Camden!G15,'Cape May'!G15,Cumberland!G15,Essex!G15,Gloucester!G15,Hudson!G15,Hunterdon!G15,Mercer!G15,Middlesex!G15,Monmouth!G15,Morris!G15,Ocean!G15,Passaic!G15,Salem!G15,Somerset!G15,Sussex!G15,Union!G15,Warren!G15)</f>
        <v>4205.8</v>
      </c>
      <c r="H18" s="294">
        <f>SUM(Atlantic!H15,Bergen!H15,Burlington!H15,Camden!H15,'Cape May'!H15,Cumberland!H15,Essex!H15,Gloucester!H15,Hudson!H15,Hunterdon!H15,Mercer!H15,Middlesex!H15,Monmouth!H15,Morris!H15,Ocean!H15,Passaic!H15,Salem!H15,Somerset!H15,Sussex!H15,Union!H15,Warren!H15)</f>
        <v>4205.8</v>
      </c>
      <c r="I18" s="16">
        <f>SUM(Atlantic!I15,Bergen!I15,Burlington!I15,Camden!I15,'Cape May'!I15,Cumberland!I15,Essex!I15,Gloucester!I15,Hudson!I15,Hunterdon!I15,Mercer!I15,Middlesex!I15,Monmouth!I15,Morris!I15,Ocean!I15,Passaic!I15,Salem!I15,Somerset!I15,Sussex!I15,Union!I15,Warren!I15)</f>
        <v>0</v>
      </c>
      <c r="J18" s="16">
        <f>SUM(Atlantic!J15,Bergen!J15,Burlington!J15,Camden!J15,'Cape May'!J15,Cumberland!J15,Essex!J15,Gloucester!J15,Hudson!J15,Hunterdon!J15,Mercer!J15,Middlesex!J15,Monmouth!J15,Morris!J15,Ocean!J15,Passaic!J15,Salem!J15,Somerset!J15,Sussex!J15,Union!J15,Warren!J15)</f>
        <v>0</v>
      </c>
      <c r="K18" s="16">
        <f>SUM(Atlantic!K15,Bergen!K15,Burlington!K15,Camden!K15,'Cape May'!K15,Cumberland!K15,Essex!K15,Gloucester!K15,Hudson!K15,Hunterdon!K15,Mercer!K15,Middlesex!K15,Monmouth!K15,Morris!K15,Ocean!K15,Passaic!K15,Salem!K15,Somerset!K15,Sussex!K15,Union!K15,Warren!K15)</f>
        <v>0</v>
      </c>
      <c r="L18" s="16">
        <f>SUM(Atlantic!L15,Bergen!L15,Burlington!L15,Camden!L15,'Cape May'!L15,Cumberland!L15,Essex!L15,Gloucester!L15,Hudson!L15,Hunterdon!L15,Mercer!L15,Middlesex!L15,Monmouth!L15,Morris!L15,Ocean!L15,Passaic!L15,Salem!L15,Somerset!L15,Sussex!L15,Union!L15,Warren!L15)</f>
        <v>0</v>
      </c>
      <c r="M18" s="16">
        <f>SUM(Atlantic!M15,Bergen!M15,Burlington!M15,Camden!M15,'Cape May'!M15,Cumberland!M15,Essex!M15,Gloucester!M15,Hudson!M15,Hunterdon!M15,Mercer!M15,Middlesex!M15,Monmouth!M15,Morris!M15,Ocean!M15,Passaic!M15,Salem!M15,Somerset!M15,Sussex!M15,Union!M15,Warren!M15)</f>
        <v>0</v>
      </c>
      <c r="N18" s="16">
        <f>SUM(Atlantic!N15,Bergen!N15,Burlington!N15,Camden!N15,'Cape May'!N15,Cumberland!N15,Essex!N15,Gloucester!N15,Hudson!N15,Hunterdon!N15,Mercer!N15,Middlesex!N15,Monmouth!N15,Morris!N15,Ocean!N15,Passaic!N15,Salem!N15,Somerset!N15,Sussex!N15,Union!N15,Warren!N15)</f>
        <v>0</v>
      </c>
      <c r="O18" s="16">
        <f>SUM(Atlantic!O15,Bergen!O15,Burlington!O15,Camden!O15,'Cape May'!O15,Cumberland!O15,Essex!O15,Gloucester!O15,Hudson!O15,Hunterdon!O15,Mercer!O15,Middlesex!O15,Monmouth!O15,Morris!O15,Ocean!O15,Passaic!O15,Salem!O15,Somerset!O15,Sussex!O15,Union!O15,Warren!O15)</f>
        <v>0</v>
      </c>
      <c r="P18" s="16">
        <f>SUM(Atlantic!P15,Bergen!P15,Burlington!P15,Camden!P15,'Cape May'!P15,Cumberland!P15,Essex!P15,Gloucester!P15,Hudson!P15,Hunterdon!P15,Mercer!P15,Middlesex!P15,Monmouth!P15,Morris!P15,Ocean!P15,Passaic!P15,Salem!P15,Somerset!P15,Sussex!P15,Union!P15,Warren!P15)</f>
        <v>0</v>
      </c>
      <c r="Q18" s="16">
        <f>IF($B$4=$X$19,M18*'Technology Assumptions'!B$34,IF('Bioenergy Calculator'!$B$4='Bioenergy Calculator'!$X$21,M18*'Technology Assumptions'!B$34,IF('Bioenergy Calculator'!$B$4='Bioenergy Calculator'!$X$20,'Bioenergy Calculator'!M18*'Technology Assumptions'!B$36,IF('Bioenergy Calculator'!$B$4='Bioenergy Calculator'!$X$23,'Bioenergy Calculator'!M18*'Technology Assumptions'!B$35,IF('Bioenergy Calculator'!$B$4='Bioenergy Calculator'!$X$22,'Bioenergy Calculator'!M18*'Technology Assumptions'!B$37,'Bioenergy Calculator'!M18)))))</f>
        <v>0</v>
      </c>
      <c r="R18" s="16">
        <f>IF($B$4=$X$19,N18*'Technology Assumptions'!C$34,IF('Bioenergy Calculator'!$B$4='Bioenergy Calculator'!$X$21,N18*'Technology Assumptions'!C$34,IF('Bioenergy Calculator'!$B$4='Bioenergy Calculator'!$X$20,'Bioenergy Calculator'!N18*'Technology Assumptions'!C$36,IF('Bioenergy Calculator'!$B$4='Bioenergy Calculator'!$X$23,'Bioenergy Calculator'!N18*'Technology Assumptions'!C$35,IF('Bioenergy Calculator'!$B$4='Bioenergy Calculator'!$X$22,'Bioenergy Calculator'!N18*'Technology Assumptions'!C$37,'Bioenergy Calculator'!N18)))))</f>
        <v>0</v>
      </c>
      <c r="S18" s="16">
        <f>IF($B$4=$X$19,O18*'Technology Assumptions'!D$34,IF('Bioenergy Calculator'!$B$4='Bioenergy Calculator'!$X$21,O18*'Technology Assumptions'!D$34,IF('Bioenergy Calculator'!$B$4='Bioenergy Calculator'!$X$20,'Bioenergy Calculator'!O18*'Technology Assumptions'!D$36,IF('Bioenergy Calculator'!$B$4='Bioenergy Calculator'!$X$23,'Bioenergy Calculator'!O18*'Technology Assumptions'!D$35,IF('Bioenergy Calculator'!$B$4='Bioenergy Calculator'!$X$22,'Bioenergy Calculator'!O18*'Technology Assumptions'!D$37,'Bioenergy Calculator'!O18)))))</f>
        <v>0</v>
      </c>
      <c r="T18" s="16">
        <f>IF($B$4=$X$19,P18*'Technology Assumptions'!E$34,IF('Bioenergy Calculator'!$B$4='Bioenergy Calculator'!$X$21,P18*'Technology Assumptions'!E$34,IF('Bioenergy Calculator'!$B$4='Bioenergy Calculator'!$X$20,'Bioenergy Calculator'!P18*'Technology Assumptions'!E$36,IF('Bioenergy Calculator'!$B$4='Bioenergy Calculator'!$X$23,'Bioenergy Calculator'!P18*'Technology Assumptions'!E$35,IF('Bioenergy Calculator'!$B$4='Bioenergy Calculator'!$X$22,'Bioenergy Calculator'!P18*'Technology Assumptions'!E$37,'Bioenergy Calculator'!P18)))))</f>
        <v>0</v>
      </c>
      <c r="X18" s="56" t="s">
        <v>458</v>
      </c>
    </row>
    <row r="19" spans="1:24" ht="12.75" customHeight="1" x14ac:dyDescent="0.25">
      <c r="A19" s="1065"/>
      <c r="B19" s="11" t="str">
        <f>Atlantic!B16</f>
        <v>Rye</v>
      </c>
      <c r="C19" s="294">
        <f>SUM(Atlantic!C16,Bergen!C16,Burlington!C16,Camden!C16,'Cape May'!C16,Cumberland!C16,Essex!C16,Gloucester!C16,Hudson!C16,Hunterdon!C16,Mercer!C16,Middlesex!C16,Monmouth!C16,Morris!C16,Ocean!C16,Passaic!C16,Salem!C16,Somerset!C16,Sussex!C16,Union!C16,Warren!C16)</f>
        <v>28106.1</v>
      </c>
      <c r="D19" s="294">
        <f>E19*'Conversion Tables'!C15</f>
        <v>0</v>
      </c>
      <c r="E19" s="294">
        <f>SUM(Atlantic!E16,Bergen!E16,Burlington!E16,Camden!E16,'Cape May'!E16,Cumberland!E16,Essex!E16,Gloucester!E16,Hudson!E16,Hunterdon!E16,Mercer!E16,Middlesex!E16,Monmouth!E16,Morris!E16,Ocean!E16,Passaic!E16,Salem!E16,Somerset!E16,Sussex!E16,Union!E16,Warren!E16)</f>
        <v>0</v>
      </c>
      <c r="F19" s="294">
        <f>SUM(Atlantic!F16,Bergen!F16,Burlington!F16,Camden!F16,'Cape May'!F16,Cumberland!F16,Essex!F16,Gloucester!F16,Hudson!F16,Hunterdon!F16,Mercer!F16,Middlesex!F16,Monmouth!F16,Morris!F16,Ocean!F16,Passaic!F16,Salem!F16,Somerset!F16,Sussex!F16,Union!F16,Warren!F16)</f>
        <v>0</v>
      </c>
      <c r="G19" s="294">
        <f>SUM(Atlantic!G16,Bergen!G16,Burlington!G16,Camden!G16,'Cape May'!G16,Cumberland!G16,Essex!G16,Gloucester!G16,Hudson!G16,Hunterdon!G16,Mercer!G16,Middlesex!G16,Monmouth!G16,Morris!G16,Ocean!G16,Passaic!G16,Salem!G16,Somerset!G16,Sussex!G16,Union!G16,Warren!G16)</f>
        <v>0</v>
      </c>
      <c r="H19" s="294">
        <f>SUM(Atlantic!H16,Bergen!H16,Burlington!H16,Camden!H16,'Cape May'!H16,Cumberland!H16,Essex!H16,Gloucester!H16,Hudson!H16,Hunterdon!H16,Mercer!H16,Middlesex!H16,Monmouth!H16,Morris!H16,Ocean!H16,Passaic!H16,Salem!H16,Somerset!H16,Sussex!H16,Union!H16,Warren!H16)</f>
        <v>0</v>
      </c>
      <c r="I19" s="16">
        <f>SUM(Atlantic!I16,Bergen!I16,Burlington!I16,Camden!I16,'Cape May'!I16,Cumberland!I16,Essex!I16,Gloucester!I16,Hudson!I16,Hunterdon!I16,Mercer!I16,Middlesex!I16,Monmouth!I16,Morris!I16,Ocean!I16,Passaic!I16,Salem!I16,Somerset!I16,Sussex!I16,Union!I16,Warren!I16)</f>
        <v>0</v>
      </c>
      <c r="J19" s="16">
        <f>SUM(Atlantic!J16,Bergen!J16,Burlington!J16,Camden!J16,'Cape May'!J16,Cumberland!J16,Essex!J16,Gloucester!J16,Hudson!J16,Hunterdon!J16,Mercer!J16,Middlesex!J16,Monmouth!J16,Morris!J16,Ocean!J16,Passaic!J16,Salem!J16,Somerset!J16,Sussex!J16,Union!J16,Warren!J16)</f>
        <v>0</v>
      </c>
      <c r="K19" s="16">
        <f>SUM(Atlantic!K16,Bergen!K16,Burlington!K16,Camden!K16,'Cape May'!K16,Cumberland!K16,Essex!K16,Gloucester!K16,Hudson!K16,Hunterdon!K16,Mercer!K16,Middlesex!K16,Monmouth!K16,Morris!K16,Ocean!K16,Passaic!K16,Salem!K16,Somerset!K16,Sussex!K16,Union!K16,Warren!K16)</f>
        <v>0</v>
      </c>
      <c r="L19" s="16">
        <f>SUM(Atlantic!L16,Bergen!L16,Burlington!L16,Camden!L16,'Cape May'!L16,Cumberland!L16,Essex!L16,Gloucester!L16,Hudson!L16,Hunterdon!L16,Mercer!L16,Middlesex!L16,Monmouth!L16,Morris!L16,Ocean!L16,Passaic!L16,Salem!L16,Somerset!L16,Sussex!L16,Union!L16,Warren!L16)</f>
        <v>0</v>
      </c>
      <c r="M19" s="16">
        <f>SUM(Atlantic!M16,Bergen!M16,Burlington!M16,Camden!M16,'Cape May'!M16,Cumberland!M16,Essex!M16,Gloucester!M16,Hudson!M16,Hunterdon!M16,Mercer!M16,Middlesex!M16,Monmouth!M16,Morris!M16,Ocean!M16,Passaic!M16,Salem!M16,Somerset!M16,Sussex!M16,Union!M16,Warren!M16)</f>
        <v>0</v>
      </c>
      <c r="N19" s="16">
        <f>SUM(Atlantic!N16,Bergen!N16,Burlington!N16,Camden!N16,'Cape May'!N16,Cumberland!N16,Essex!N16,Gloucester!N16,Hudson!N16,Hunterdon!N16,Mercer!N16,Middlesex!N16,Monmouth!N16,Morris!N16,Ocean!N16,Passaic!N16,Salem!N16,Somerset!N16,Sussex!N16,Union!N16,Warren!N16)</f>
        <v>0</v>
      </c>
      <c r="O19" s="16">
        <f>SUM(Atlantic!O16,Bergen!O16,Burlington!O16,Camden!O16,'Cape May'!O16,Cumberland!O16,Essex!O16,Gloucester!O16,Hudson!O16,Hunterdon!O16,Mercer!O16,Middlesex!O16,Monmouth!O16,Morris!O16,Ocean!O16,Passaic!O16,Salem!O16,Somerset!O16,Sussex!O16,Union!O16,Warren!O16)</f>
        <v>0</v>
      </c>
      <c r="P19" s="16">
        <f>SUM(Atlantic!P16,Bergen!P16,Burlington!P16,Camden!P16,'Cape May'!P16,Cumberland!P16,Essex!P16,Gloucester!P16,Hudson!P16,Hunterdon!P16,Mercer!P16,Middlesex!P16,Monmouth!P16,Morris!P16,Ocean!P16,Passaic!P16,Salem!P16,Somerset!P16,Sussex!P16,Union!P16,Warren!P16)</f>
        <v>0</v>
      </c>
      <c r="Q19" s="16">
        <f>IF($B$4=$X$19,M19*'Technology Assumptions'!B$34,IF('Bioenergy Calculator'!$B$4='Bioenergy Calculator'!$X$21,M19*'Technology Assumptions'!B$34,IF('Bioenergy Calculator'!$B$4='Bioenergy Calculator'!$X$20,'Bioenergy Calculator'!M19*'Technology Assumptions'!B$36,IF('Bioenergy Calculator'!$B$4='Bioenergy Calculator'!$X$23,'Bioenergy Calculator'!M19*'Technology Assumptions'!B$35,IF('Bioenergy Calculator'!$B$4='Bioenergy Calculator'!$X$22,'Bioenergy Calculator'!M19*'Technology Assumptions'!B$37,'Bioenergy Calculator'!M19)))))</f>
        <v>0</v>
      </c>
      <c r="R19" s="16">
        <f>IF($B$4=$X$19,N19*'Technology Assumptions'!C$34,IF('Bioenergy Calculator'!$B$4='Bioenergy Calculator'!$X$21,N19*'Technology Assumptions'!C$34,IF('Bioenergy Calculator'!$B$4='Bioenergy Calculator'!$X$20,'Bioenergy Calculator'!N19*'Technology Assumptions'!C$36,IF('Bioenergy Calculator'!$B$4='Bioenergy Calculator'!$X$23,'Bioenergy Calculator'!N19*'Technology Assumptions'!C$35,IF('Bioenergy Calculator'!$B$4='Bioenergy Calculator'!$X$22,'Bioenergy Calculator'!N19*'Technology Assumptions'!C$37,'Bioenergy Calculator'!N19)))))</f>
        <v>0</v>
      </c>
      <c r="S19" s="16">
        <f>IF($B$4=$X$19,O19*'Technology Assumptions'!D$34,IF('Bioenergy Calculator'!$B$4='Bioenergy Calculator'!$X$21,O19*'Technology Assumptions'!D$34,IF('Bioenergy Calculator'!$B$4='Bioenergy Calculator'!$X$20,'Bioenergy Calculator'!O19*'Technology Assumptions'!D$36,IF('Bioenergy Calculator'!$B$4='Bioenergy Calculator'!$X$23,'Bioenergy Calculator'!O19*'Technology Assumptions'!D$35,IF('Bioenergy Calculator'!$B$4='Bioenergy Calculator'!$X$22,'Bioenergy Calculator'!O19*'Technology Assumptions'!D$37,'Bioenergy Calculator'!O19)))))</f>
        <v>0</v>
      </c>
      <c r="T19" s="16">
        <f>IF($B$4=$X$19,P19*'Technology Assumptions'!E$34,IF('Bioenergy Calculator'!$B$4='Bioenergy Calculator'!$X$21,P19*'Technology Assumptions'!E$34,IF('Bioenergy Calculator'!$B$4='Bioenergy Calculator'!$X$20,'Bioenergy Calculator'!P19*'Technology Assumptions'!E$36,IF('Bioenergy Calculator'!$B$4='Bioenergy Calculator'!$X$23,'Bioenergy Calculator'!P19*'Technology Assumptions'!E$35,IF('Bioenergy Calculator'!$B$4='Bioenergy Calculator'!$X$22,'Bioenergy Calculator'!P19*'Technology Assumptions'!E$37,'Bioenergy Calculator'!P19)))))</f>
        <v>0</v>
      </c>
      <c r="X19" t="s">
        <v>270</v>
      </c>
    </row>
    <row r="20" spans="1:24" ht="12.75" customHeight="1" x14ac:dyDescent="0.25">
      <c r="A20" s="1065"/>
      <c r="B20" s="11" t="str">
        <f>Atlantic!B17</f>
        <v>Corn for Grain</v>
      </c>
      <c r="C20" s="294">
        <f>SUM(Atlantic!C17,Bergen!C17,Burlington!C17,Camden!C17,'Cape May'!C17,Cumberland!C17,Essex!C17,Gloucester!C17,Hudson!C17,Hunterdon!C17,Mercer!C17,Middlesex!C17,Monmouth!C17,Morris!C17,Ocean!C17,Passaic!C17,Salem!C17,Somerset!C17,Sussex!C17,Union!C17,Warren!C17)</f>
        <v>132134.625</v>
      </c>
      <c r="D20" s="294">
        <f>E20*'Conversion Tables'!C16</f>
        <v>1766930.6324249997</v>
      </c>
      <c r="E20" s="294">
        <f>SUM(Atlantic!E17,Bergen!E17,Burlington!E17,Camden!E17,'Cape May'!E17,Cumberland!E17,Essex!E17,Gloucester!E17,Hudson!E17,Hunterdon!E17,Mercer!E17,Middlesex!E17,Monmouth!E17,Morris!E17,Ocean!E17,Passaic!E17,Salem!E17,Somerset!E17,Sussex!E17,Union!E17,Warren!E17)</f>
        <v>112314.43124999999</v>
      </c>
      <c r="F20" s="294">
        <f>SUM(Atlantic!F17,Bergen!F17,Burlington!F17,Camden!F17,'Cape May'!F17,Cumberland!F17,Essex!F17,Gloucester!F17,Hudson!F17,Hunterdon!F17,Mercer!F17,Middlesex!F17,Monmouth!F17,Morris!F17,Ocean!F17,Passaic!F17,Salem!F17,Somerset!F17,Sussex!F17,Union!F17,Warren!F17)</f>
        <v>112314.43124999999</v>
      </c>
      <c r="G20" s="294">
        <f>SUM(Atlantic!G17,Bergen!G17,Burlington!G17,Camden!G17,'Cape May'!G17,Cumberland!G17,Essex!G17,Gloucester!G17,Hudson!G17,Hunterdon!G17,Mercer!G17,Middlesex!G17,Monmouth!G17,Morris!G17,Ocean!G17,Passaic!G17,Salem!G17,Somerset!G17,Sussex!G17,Union!G17,Warren!G17)</f>
        <v>112314.43124999999</v>
      </c>
      <c r="H20" s="294">
        <f>SUM(Atlantic!H17,Bergen!H17,Burlington!H17,Camden!H17,'Cape May'!H17,Cumberland!H17,Essex!H17,Gloucester!H17,Hudson!H17,Hunterdon!H17,Mercer!H17,Middlesex!H17,Monmouth!H17,Morris!H17,Ocean!H17,Passaic!H17,Salem!H17,Somerset!H17,Sussex!H17,Union!H17,Warren!H17)</f>
        <v>112314.43124999999</v>
      </c>
      <c r="I20" s="16">
        <f>SUM(Atlantic!I17,Bergen!I17,Burlington!I17,Camden!I17,'Cape May'!I17,Cumberland!I17,Essex!I17,Gloucester!I17,Hudson!I17,Hunterdon!I17,Mercer!I17,Middlesex!I17,Monmouth!I17,Morris!I17,Ocean!I17,Passaic!I17,Salem!I17,Somerset!I17,Sussex!I17,Union!I17,Warren!I17)</f>
        <v>0</v>
      </c>
      <c r="J20" s="16">
        <f>SUM(Atlantic!J17,Bergen!J17,Burlington!J17,Camden!J17,'Cape May'!J17,Cumberland!J17,Essex!J17,Gloucester!J17,Hudson!J17,Hunterdon!J17,Mercer!J17,Middlesex!J17,Monmouth!J17,Morris!J17,Ocean!J17,Passaic!J17,Salem!J17,Somerset!J17,Sussex!J17,Union!J17,Warren!J17)</f>
        <v>0</v>
      </c>
      <c r="K20" s="16">
        <f>SUM(Atlantic!K17,Bergen!K17,Burlington!K17,Camden!K17,'Cape May'!K17,Cumberland!K17,Essex!K17,Gloucester!K17,Hudson!K17,Hunterdon!K17,Mercer!K17,Middlesex!K17,Monmouth!K17,Morris!K17,Ocean!K17,Passaic!K17,Salem!K17,Somerset!K17,Sussex!K17,Union!K17,Warren!K17)</f>
        <v>0</v>
      </c>
      <c r="L20" s="16">
        <f>SUM(Atlantic!L17,Bergen!L17,Burlington!L17,Camden!L17,'Cape May'!L17,Cumberland!L17,Essex!L17,Gloucester!L17,Hudson!L17,Hunterdon!L17,Mercer!L17,Middlesex!L17,Monmouth!L17,Morris!L17,Ocean!L17,Passaic!L17,Salem!L17,Somerset!L17,Sussex!L17,Union!L17,Warren!L17)</f>
        <v>0</v>
      </c>
      <c r="M20" s="16">
        <f>SUM(Atlantic!M17,Bergen!M17,Burlington!M17,Camden!M17,'Cape May'!M17,Cumberland!M17,Essex!M17,Gloucester!M17,Hudson!M17,Hunterdon!M17,Mercer!M17,Middlesex!M17,Monmouth!M17,Morris!M17,Ocean!M17,Passaic!M17,Salem!M17,Somerset!M17,Sussex!M17,Union!M17,Warren!M17)</f>
        <v>0</v>
      </c>
      <c r="N20" s="16">
        <f>SUM(Atlantic!N17,Bergen!N17,Burlington!N17,Camden!N17,'Cape May'!N17,Cumberland!N17,Essex!N17,Gloucester!N17,Hudson!N17,Hunterdon!N17,Mercer!N17,Middlesex!N17,Monmouth!N17,Morris!N17,Ocean!N17,Passaic!N17,Salem!N17,Somerset!N17,Sussex!N17,Union!N17,Warren!N17)</f>
        <v>0</v>
      </c>
      <c r="O20" s="16">
        <f>SUM(Atlantic!O17,Bergen!O17,Burlington!O17,Camden!O17,'Cape May'!O17,Cumberland!O17,Essex!O17,Gloucester!O17,Hudson!O17,Hunterdon!O17,Mercer!O17,Middlesex!O17,Monmouth!O17,Morris!O17,Ocean!O17,Passaic!O17,Salem!O17,Somerset!O17,Sussex!O17,Union!O17,Warren!O17)</f>
        <v>0</v>
      </c>
      <c r="P20" s="16">
        <f>SUM(Atlantic!P17,Bergen!P17,Burlington!P17,Camden!P17,'Cape May'!P17,Cumberland!P17,Essex!P17,Gloucester!P17,Hudson!P17,Hunterdon!P17,Mercer!P17,Middlesex!P17,Monmouth!P17,Morris!P17,Ocean!P17,Passaic!P17,Salem!P17,Somerset!P17,Sussex!P17,Union!P17,Warren!P17)</f>
        <v>0</v>
      </c>
      <c r="Q20" s="16">
        <f>IF($B$4=$X$19,M20*'Technology Assumptions'!B$34,IF('Bioenergy Calculator'!$B$4='Bioenergy Calculator'!$X$21,M20*'Technology Assumptions'!B$34,IF('Bioenergy Calculator'!$B$4='Bioenergy Calculator'!$X$20,'Bioenergy Calculator'!M20*'Technology Assumptions'!B$36,IF('Bioenergy Calculator'!$B$4='Bioenergy Calculator'!$X$23,'Bioenergy Calculator'!M20*'Technology Assumptions'!B$35,IF('Bioenergy Calculator'!$B$4='Bioenergy Calculator'!$X$22,'Bioenergy Calculator'!M20*'Technology Assumptions'!B$37,'Bioenergy Calculator'!M20)))))</f>
        <v>0</v>
      </c>
      <c r="R20" s="16">
        <f>IF($B$4=$X$19,N20*'Technology Assumptions'!C$34,IF('Bioenergy Calculator'!$B$4='Bioenergy Calculator'!$X$21,N20*'Technology Assumptions'!C$34,IF('Bioenergy Calculator'!$B$4='Bioenergy Calculator'!$X$20,'Bioenergy Calculator'!N20*'Technology Assumptions'!C$36,IF('Bioenergy Calculator'!$B$4='Bioenergy Calculator'!$X$23,'Bioenergy Calculator'!N20*'Technology Assumptions'!C$35,IF('Bioenergy Calculator'!$B$4='Bioenergy Calculator'!$X$22,'Bioenergy Calculator'!N20*'Technology Assumptions'!C$37,'Bioenergy Calculator'!N20)))))</f>
        <v>0</v>
      </c>
      <c r="S20" s="16">
        <f>IF($B$4=$X$19,O20*'Technology Assumptions'!D$34,IF('Bioenergy Calculator'!$B$4='Bioenergy Calculator'!$X$21,O20*'Technology Assumptions'!D$34,IF('Bioenergy Calculator'!$B$4='Bioenergy Calculator'!$X$20,'Bioenergy Calculator'!O20*'Technology Assumptions'!D$36,IF('Bioenergy Calculator'!$B$4='Bioenergy Calculator'!$X$23,'Bioenergy Calculator'!O20*'Technology Assumptions'!D$35,IF('Bioenergy Calculator'!$B$4='Bioenergy Calculator'!$X$22,'Bioenergy Calculator'!O20*'Technology Assumptions'!D$37,'Bioenergy Calculator'!O20)))))</f>
        <v>0</v>
      </c>
      <c r="T20" s="16">
        <f>IF($B$4=$X$19,P20*'Technology Assumptions'!E$34,IF('Bioenergy Calculator'!$B$4='Bioenergy Calculator'!$X$21,P20*'Technology Assumptions'!E$34,IF('Bioenergy Calculator'!$B$4='Bioenergy Calculator'!$X$20,'Bioenergy Calculator'!P20*'Technology Assumptions'!E$36,IF('Bioenergy Calculator'!$B$4='Bioenergy Calculator'!$X$23,'Bioenergy Calculator'!P20*'Technology Assumptions'!E$35,IF('Bioenergy Calculator'!$B$4='Bioenergy Calculator'!$X$22,'Bioenergy Calculator'!P20*'Technology Assumptions'!E$37,'Bioenergy Calculator'!P20)))))</f>
        <v>0</v>
      </c>
      <c r="X20" t="s">
        <v>246</v>
      </c>
    </row>
    <row r="21" spans="1:24" x14ac:dyDescent="0.25">
      <c r="A21" s="1065"/>
      <c r="B21" s="11" t="str">
        <f>Atlantic!B18</f>
        <v>Corn for Silage</v>
      </c>
      <c r="C21" s="294">
        <f>SUM(Atlantic!C18,Bergen!C18,Burlington!C18,Camden!C18,'Cape May'!C18,Cumberland!C18,Essex!C18,Gloucester!C18,Hudson!C18,Hunterdon!C18,Mercer!C18,Middlesex!C18,Monmouth!C18,Morris!C18,Ocean!C18,Passaic!C18,Salem!C18,Somerset!C18,Sussex!C18,Union!C18,Warren!C18)</f>
        <v>69075.159999999989</v>
      </c>
      <c r="D21" s="294">
        <f>E21*'Conversion Tables'!C17</f>
        <v>815017.81283999979</v>
      </c>
      <c r="E21" s="294">
        <f>SUM(Atlantic!E18,Bergen!E18,Burlington!E18,Camden!E18,'Cape May'!E18,Cumberland!E18,Essex!E18,Gloucester!E18,Hudson!E18,Hunterdon!E18,Mercer!E18,Middlesex!E18,Monmouth!E18,Morris!E18,Ocean!E18,Passaic!E18,Salem!E18,Somerset!E18,Sussex!E18,Union!E18,Warren!E18)</f>
        <v>51806.369999999988</v>
      </c>
      <c r="F21" s="294">
        <f>SUM(Atlantic!F18,Bergen!F18,Burlington!F18,Camden!F18,'Cape May'!F18,Cumberland!F18,Essex!F18,Gloucester!F18,Hudson!F18,Hunterdon!F18,Mercer!F18,Middlesex!F18,Monmouth!F18,Morris!F18,Ocean!F18,Passaic!F18,Salem!F18,Somerset!F18,Sussex!F18,Union!F18,Warren!F18)</f>
        <v>51806.369999999988</v>
      </c>
      <c r="G21" s="294">
        <f>SUM(Atlantic!G18,Bergen!G18,Burlington!G18,Camden!G18,'Cape May'!G18,Cumberland!G18,Essex!G18,Gloucester!G18,Hudson!G18,Hunterdon!G18,Mercer!G18,Middlesex!G18,Monmouth!G18,Morris!G18,Ocean!G18,Passaic!G18,Salem!G18,Somerset!G18,Sussex!G18,Union!G18,Warren!G18)</f>
        <v>51806.369999999988</v>
      </c>
      <c r="H21" s="294">
        <f>SUM(Atlantic!H18,Bergen!H18,Burlington!H18,Camden!H18,'Cape May'!H18,Cumberland!H18,Essex!H18,Gloucester!H18,Hudson!H18,Hunterdon!H18,Mercer!H18,Middlesex!H18,Monmouth!H18,Morris!H18,Ocean!H18,Passaic!H18,Salem!H18,Somerset!H18,Sussex!H18,Union!H18,Warren!H18)</f>
        <v>51806.369999999988</v>
      </c>
      <c r="I21" s="16">
        <f>SUM(Atlantic!I18,Bergen!I18,Burlington!I18,Camden!I18,'Cape May'!I18,Cumberland!I18,Essex!I18,Gloucester!I18,Hudson!I18,Hunterdon!I18,Mercer!I18,Middlesex!I18,Monmouth!I18,Morris!I18,Ocean!I18,Passaic!I18,Salem!I18,Somerset!I18,Sussex!I18,Union!I18,Warren!I18)</f>
        <v>0</v>
      </c>
      <c r="J21" s="16">
        <f>SUM(Atlantic!J18,Bergen!J18,Burlington!J18,Camden!J18,'Cape May'!J18,Cumberland!J18,Essex!J18,Gloucester!J18,Hudson!J18,Hunterdon!J18,Mercer!J18,Middlesex!J18,Monmouth!J18,Morris!J18,Ocean!J18,Passaic!J18,Salem!J18,Somerset!J18,Sussex!J18,Union!J18,Warren!J18)</f>
        <v>0</v>
      </c>
      <c r="K21" s="16">
        <f>SUM(Atlantic!K18,Bergen!K18,Burlington!K18,Camden!K18,'Cape May'!K18,Cumberland!K18,Essex!K18,Gloucester!K18,Hudson!K18,Hunterdon!K18,Mercer!K18,Middlesex!K18,Monmouth!K18,Morris!K18,Ocean!K18,Passaic!K18,Salem!K18,Somerset!K18,Sussex!K18,Union!K18,Warren!K18)</f>
        <v>0</v>
      </c>
      <c r="L21" s="16">
        <f>SUM(Atlantic!L18,Bergen!L18,Burlington!L18,Camden!L18,'Cape May'!L18,Cumberland!L18,Essex!L18,Gloucester!L18,Hudson!L18,Hunterdon!L18,Mercer!L18,Middlesex!L18,Monmouth!L18,Morris!L18,Ocean!L18,Passaic!L18,Salem!L18,Somerset!L18,Sussex!L18,Union!L18,Warren!L18)</f>
        <v>0</v>
      </c>
      <c r="M21" s="16">
        <f>SUM(Atlantic!M18,Bergen!M18,Burlington!M18,Camden!M18,'Cape May'!M18,Cumberland!M18,Essex!M18,Gloucester!M18,Hudson!M18,Hunterdon!M18,Mercer!M18,Middlesex!M18,Monmouth!M18,Morris!M18,Ocean!M18,Passaic!M18,Salem!M18,Somerset!M18,Sussex!M18,Union!M18,Warren!M18)</f>
        <v>0</v>
      </c>
      <c r="N21" s="16">
        <f>SUM(Atlantic!N18,Bergen!N18,Burlington!N18,Camden!N18,'Cape May'!N18,Cumberland!N18,Essex!N18,Gloucester!N18,Hudson!N18,Hunterdon!N18,Mercer!N18,Middlesex!N18,Monmouth!N18,Morris!N18,Ocean!N18,Passaic!N18,Salem!N18,Somerset!N18,Sussex!N18,Union!N18,Warren!N18)</f>
        <v>0</v>
      </c>
      <c r="O21" s="16">
        <f>SUM(Atlantic!O18,Bergen!O18,Burlington!O18,Camden!O18,'Cape May'!O18,Cumberland!O18,Essex!O18,Gloucester!O18,Hudson!O18,Hunterdon!O18,Mercer!O18,Middlesex!O18,Monmouth!O18,Morris!O18,Ocean!O18,Passaic!O18,Salem!O18,Somerset!O18,Sussex!O18,Union!O18,Warren!O18)</f>
        <v>0</v>
      </c>
      <c r="P21" s="16">
        <f>SUM(Atlantic!P18,Bergen!P18,Burlington!P18,Camden!P18,'Cape May'!P18,Cumberland!P18,Essex!P18,Gloucester!P18,Hudson!P18,Hunterdon!P18,Mercer!P18,Middlesex!P18,Monmouth!P18,Morris!P18,Ocean!P18,Passaic!P18,Salem!P18,Somerset!P18,Sussex!P18,Union!P18,Warren!P18)</f>
        <v>0</v>
      </c>
      <c r="Q21" s="16">
        <f>IF($B$4=$X$19,M21*'Technology Assumptions'!B$34,IF('Bioenergy Calculator'!$B$4='Bioenergy Calculator'!$X$21,M21*'Technology Assumptions'!B$34,IF('Bioenergy Calculator'!$B$4='Bioenergy Calculator'!$X$20,'Bioenergy Calculator'!M21*'Technology Assumptions'!B$36,IF('Bioenergy Calculator'!$B$4='Bioenergy Calculator'!$X$23,'Bioenergy Calculator'!M21*'Technology Assumptions'!B$35,IF('Bioenergy Calculator'!$B$4='Bioenergy Calculator'!$X$22,'Bioenergy Calculator'!M21*'Technology Assumptions'!B$37,'Bioenergy Calculator'!M21)))))</f>
        <v>0</v>
      </c>
      <c r="R21" s="16">
        <f>IF($B$4=$X$19,N21*'Technology Assumptions'!C$34,IF('Bioenergy Calculator'!$B$4='Bioenergy Calculator'!$X$21,N21*'Technology Assumptions'!C$34,IF('Bioenergy Calculator'!$B$4='Bioenergy Calculator'!$X$20,'Bioenergy Calculator'!N21*'Technology Assumptions'!C$36,IF('Bioenergy Calculator'!$B$4='Bioenergy Calculator'!$X$23,'Bioenergy Calculator'!N21*'Technology Assumptions'!C$35,IF('Bioenergy Calculator'!$B$4='Bioenergy Calculator'!$X$22,'Bioenergy Calculator'!N21*'Technology Assumptions'!C$37,'Bioenergy Calculator'!N21)))))</f>
        <v>0</v>
      </c>
      <c r="S21" s="16">
        <f>IF($B$4=$X$19,O21*'Technology Assumptions'!D$34,IF('Bioenergy Calculator'!$B$4='Bioenergy Calculator'!$X$21,O21*'Technology Assumptions'!D$34,IF('Bioenergy Calculator'!$B$4='Bioenergy Calculator'!$X$20,'Bioenergy Calculator'!O21*'Technology Assumptions'!D$36,IF('Bioenergy Calculator'!$B$4='Bioenergy Calculator'!$X$23,'Bioenergy Calculator'!O21*'Technology Assumptions'!D$35,IF('Bioenergy Calculator'!$B$4='Bioenergy Calculator'!$X$22,'Bioenergy Calculator'!O21*'Technology Assumptions'!D$37,'Bioenergy Calculator'!O21)))))</f>
        <v>0</v>
      </c>
      <c r="T21" s="16">
        <f>IF($B$4=$X$19,P21*'Technology Assumptions'!E$34,IF('Bioenergy Calculator'!$B$4='Bioenergy Calculator'!$X$21,P21*'Technology Assumptions'!E$34,IF('Bioenergy Calculator'!$B$4='Bioenergy Calculator'!$X$20,'Bioenergy Calculator'!P21*'Technology Assumptions'!E$36,IF('Bioenergy Calculator'!$B$4='Bioenergy Calculator'!$X$23,'Bioenergy Calculator'!P21*'Technology Assumptions'!E$35,IF('Bioenergy Calculator'!$B$4='Bioenergy Calculator'!$X$22,'Bioenergy Calculator'!P21*'Technology Assumptions'!E$37,'Bioenergy Calculator'!P21)))))</f>
        <v>0</v>
      </c>
      <c r="X21" t="s">
        <v>461</v>
      </c>
    </row>
    <row r="22" spans="1:24" x14ac:dyDescent="0.25">
      <c r="A22" s="1065"/>
      <c r="B22" s="11" t="str">
        <f>Atlantic!B19</f>
        <v>Alfalfa Hay</v>
      </c>
      <c r="C22" s="294">
        <f>SUM(Atlantic!C19,Bergen!C19,Burlington!C19,Camden!C19,'Cape May'!C19,Cumberland!C19,Essex!C19,Gloucester!C19,Hudson!C19,Hunterdon!C19,Mercer!C19,Middlesex!C19,Monmouth!C19,Morris!C19,Ocean!C19,Passaic!C19,Salem!C19,Somerset!C19,Sussex!C19,Union!C19,Warren!C19)</f>
        <v>84725.28</v>
      </c>
      <c r="D22" s="294">
        <f>E22*'Conversion Tables'!C18</f>
        <v>0</v>
      </c>
      <c r="E22" s="294">
        <f>SUM(Atlantic!E19,Bergen!E19,Burlington!E19,Camden!E19,'Cape May'!E19,Cumberland!E19,Essex!E19,Gloucester!E19,Hudson!E19,Hunterdon!E19,Mercer!E19,Middlesex!E19,Monmouth!E19,Morris!E19,Ocean!E19,Passaic!E19,Salem!E19,Somerset!E19,Sussex!E19,Union!E19,Warren!E19)</f>
        <v>0</v>
      </c>
      <c r="F22" s="294">
        <f>SUM(Atlantic!F19,Bergen!F19,Burlington!F19,Camden!F19,'Cape May'!F19,Cumberland!F19,Essex!F19,Gloucester!F19,Hudson!F19,Hunterdon!F19,Mercer!F19,Middlesex!F19,Monmouth!F19,Morris!F19,Ocean!F19,Passaic!F19,Salem!F19,Somerset!F19,Sussex!F19,Union!F19,Warren!F19)</f>
        <v>0</v>
      </c>
      <c r="G22" s="294">
        <f>SUM(Atlantic!G19,Bergen!G19,Burlington!G19,Camden!G19,'Cape May'!G19,Cumberland!G19,Essex!G19,Gloucester!G19,Hudson!G19,Hunterdon!G19,Mercer!G19,Middlesex!G19,Monmouth!G19,Morris!G19,Ocean!G19,Passaic!G19,Salem!G19,Somerset!G19,Sussex!G19,Union!G19,Warren!G19)</f>
        <v>0</v>
      </c>
      <c r="H22" s="294">
        <f>SUM(Atlantic!H19,Bergen!H19,Burlington!H19,Camden!H19,'Cape May'!H19,Cumberland!H19,Essex!H19,Gloucester!H19,Hudson!H19,Hunterdon!H19,Mercer!H19,Middlesex!H19,Monmouth!H19,Morris!H19,Ocean!H19,Passaic!H19,Salem!H19,Somerset!H19,Sussex!H19,Union!H19,Warren!H19)</f>
        <v>0</v>
      </c>
      <c r="I22" s="16">
        <f>SUM(Atlantic!I19,Bergen!I19,Burlington!I19,Camden!I19,'Cape May'!I19,Cumberland!I19,Essex!I19,Gloucester!I19,Hudson!I19,Hunterdon!I19,Mercer!I19,Middlesex!I19,Monmouth!I19,Morris!I19,Ocean!I19,Passaic!I19,Salem!I19,Somerset!I19,Sussex!I19,Union!I19,Warren!I19)</f>
        <v>0</v>
      </c>
      <c r="J22" s="16">
        <f>SUM(Atlantic!J19,Bergen!J19,Burlington!J19,Camden!J19,'Cape May'!J19,Cumberland!J19,Essex!J19,Gloucester!J19,Hudson!J19,Hunterdon!J19,Mercer!J19,Middlesex!J19,Monmouth!J19,Morris!J19,Ocean!J19,Passaic!J19,Salem!J19,Somerset!J19,Sussex!J19,Union!J19,Warren!J19)</f>
        <v>0</v>
      </c>
      <c r="K22" s="16">
        <f>SUM(Atlantic!K19,Bergen!K19,Burlington!K19,Camden!K19,'Cape May'!K19,Cumberland!K19,Essex!K19,Gloucester!K19,Hudson!K19,Hunterdon!K19,Mercer!K19,Middlesex!K19,Monmouth!K19,Morris!K19,Ocean!K19,Passaic!K19,Salem!K19,Somerset!K19,Sussex!K19,Union!K19,Warren!K19)</f>
        <v>0</v>
      </c>
      <c r="L22" s="16">
        <f>SUM(Atlantic!L19,Bergen!L19,Burlington!L19,Camden!L19,'Cape May'!L19,Cumberland!L19,Essex!L19,Gloucester!L19,Hudson!L19,Hunterdon!L19,Mercer!L19,Middlesex!L19,Monmouth!L19,Morris!L19,Ocean!L19,Passaic!L19,Salem!L19,Somerset!L19,Sussex!L19,Union!L19,Warren!L19)</f>
        <v>0</v>
      </c>
      <c r="M22" s="16">
        <f>SUM(Atlantic!M19,Bergen!M19,Burlington!M19,Camden!M19,'Cape May'!M19,Cumberland!M19,Essex!M19,Gloucester!M19,Hudson!M19,Hunterdon!M19,Mercer!M19,Middlesex!M19,Monmouth!M19,Morris!M19,Ocean!M19,Passaic!M19,Salem!M19,Somerset!M19,Sussex!M19,Union!M19,Warren!M19)</f>
        <v>0</v>
      </c>
      <c r="N22" s="16">
        <f>SUM(Atlantic!N19,Bergen!N19,Burlington!N19,Camden!N19,'Cape May'!N19,Cumberland!N19,Essex!N19,Gloucester!N19,Hudson!N19,Hunterdon!N19,Mercer!N19,Middlesex!N19,Monmouth!N19,Morris!N19,Ocean!N19,Passaic!N19,Salem!N19,Somerset!N19,Sussex!N19,Union!N19,Warren!N19)</f>
        <v>0</v>
      </c>
      <c r="O22" s="16">
        <f>SUM(Atlantic!O19,Bergen!O19,Burlington!O19,Camden!O19,'Cape May'!O19,Cumberland!O19,Essex!O19,Gloucester!O19,Hudson!O19,Hunterdon!O19,Mercer!O19,Middlesex!O19,Monmouth!O19,Morris!O19,Ocean!O19,Passaic!O19,Salem!O19,Somerset!O19,Sussex!O19,Union!O19,Warren!O19)</f>
        <v>0</v>
      </c>
      <c r="P22" s="16">
        <f>SUM(Atlantic!P19,Bergen!P19,Burlington!P19,Camden!P19,'Cape May'!P19,Cumberland!P19,Essex!P19,Gloucester!P19,Hudson!P19,Hunterdon!P19,Mercer!P19,Middlesex!P19,Monmouth!P19,Morris!P19,Ocean!P19,Passaic!P19,Salem!P19,Somerset!P19,Sussex!P19,Union!P19,Warren!P19)</f>
        <v>0</v>
      </c>
      <c r="Q22" s="16">
        <f>IF($B$4=$X$19,M22*'Technology Assumptions'!B$34,IF('Bioenergy Calculator'!$B$4='Bioenergy Calculator'!$X$21,M22*'Technology Assumptions'!B$34,IF('Bioenergy Calculator'!$B$4='Bioenergy Calculator'!$X$20,'Bioenergy Calculator'!M22*'Technology Assumptions'!B$36,IF('Bioenergy Calculator'!$B$4='Bioenergy Calculator'!$X$23,'Bioenergy Calculator'!M22*'Technology Assumptions'!B$35,IF('Bioenergy Calculator'!$B$4='Bioenergy Calculator'!$X$22,'Bioenergy Calculator'!M22*'Technology Assumptions'!B$37,'Bioenergy Calculator'!M22)))))</f>
        <v>0</v>
      </c>
      <c r="R22" s="16">
        <f>IF($B$4=$X$19,N22*'Technology Assumptions'!C$34,IF('Bioenergy Calculator'!$B$4='Bioenergy Calculator'!$X$21,N22*'Technology Assumptions'!C$34,IF('Bioenergy Calculator'!$B$4='Bioenergy Calculator'!$X$20,'Bioenergy Calculator'!N22*'Technology Assumptions'!C$36,IF('Bioenergy Calculator'!$B$4='Bioenergy Calculator'!$X$23,'Bioenergy Calculator'!N22*'Technology Assumptions'!C$35,IF('Bioenergy Calculator'!$B$4='Bioenergy Calculator'!$X$22,'Bioenergy Calculator'!N22*'Technology Assumptions'!C$37,'Bioenergy Calculator'!N22)))))</f>
        <v>0</v>
      </c>
      <c r="S22" s="16">
        <f>IF($B$4=$X$19,O22*'Technology Assumptions'!D$34,IF('Bioenergy Calculator'!$B$4='Bioenergy Calculator'!$X$21,O22*'Technology Assumptions'!D$34,IF('Bioenergy Calculator'!$B$4='Bioenergy Calculator'!$X$20,'Bioenergy Calculator'!O22*'Technology Assumptions'!D$36,IF('Bioenergy Calculator'!$B$4='Bioenergy Calculator'!$X$23,'Bioenergy Calculator'!O22*'Technology Assumptions'!D$35,IF('Bioenergy Calculator'!$B$4='Bioenergy Calculator'!$X$22,'Bioenergy Calculator'!O22*'Technology Assumptions'!D$37,'Bioenergy Calculator'!O22)))))</f>
        <v>0</v>
      </c>
      <c r="T22" s="16">
        <f>IF($B$4=$X$19,P22*'Technology Assumptions'!E$34,IF('Bioenergy Calculator'!$B$4='Bioenergy Calculator'!$X$21,P22*'Technology Assumptions'!E$34,IF('Bioenergy Calculator'!$B$4='Bioenergy Calculator'!$X$20,'Bioenergy Calculator'!P22*'Technology Assumptions'!E$36,IF('Bioenergy Calculator'!$B$4='Bioenergy Calculator'!$X$23,'Bioenergy Calculator'!P22*'Technology Assumptions'!E$35,IF('Bioenergy Calculator'!$B$4='Bioenergy Calculator'!$X$22,'Bioenergy Calculator'!P22*'Technology Assumptions'!E$37,'Bioenergy Calculator'!P22)))))</f>
        <v>0</v>
      </c>
      <c r="X22" t="s">
        <v>279</v>
      </c>
    </row>
    <row r="23" spans="1:24" x14ac:dyDescent="0.25">
      <c r="A23" s="1065"/>
      <c r="B23" s="11" t="str">
        <f>Atlantic!B20</f>
        <v>Other Hay</v>
      </c>
      <c r="C23" s="294">
        <f>SUM(Atlantic!C20,Bergen!C20,Burlington!C20,Camden!C20,'Cape May'!C20,Cumberland!C20,Essex!C20,Gloucester!C20,Hudson!C20,Hunterdon!C20,Mercer!C20,Middlesex!C20,Monmouth!C20,Morris!C20,Ocean!C20,Passaic!C20,Salem!C20,Somerset!C20,Sussex!C20,Union!C20,Warren!C20)</f>
        <v>135337.25499999998</v>
      </c>
      <c r="D23" s="294">
        <f>E23*'Conversion Tables'!C19</f>
        <v>1055630.5889999997</v>
      </c>
      <c r="E23" s="294">
        <f>SUM(Atlantic!E20,Bergen!E20,Burlington!E20,Camden!E20,'Cape May'!E20,Cumberland!E20,Essex!E20,Gloucester!E20,Hudson!E20,Hunterdon!E20,Mercer!E20,Middlesex!E20,Monmouth!E20,Morris!E20,Ocean!E20,Passaic!E20,Salem!E20,Somerset!E20,Sussex!E20,Union!E20,Warren!E20)</f>
        <v>67668.627499999988</v>
      </c>
      <c r="F23" s="294">
        <f>SUM(Atlantic!F20,Bergen!F20,Burlington!F20,Camden!F20,'Cape May'!F20,Cumberland!F20,Essex!F20,Gloucester!F20,Hudson!F20,Hunterdon!F20,Mercer!F20,Middlesex!F20,Monmouth!F20,Morris!F20,Ocean!F20,Passaic!F20,Salem!F20,Somerset!F20,Sussex!F20,Union!F20,Warren!F20)</f>
        <v>67668.627499999988</v>
      </c>
      <c r="G23" s="294">
        <f>SUM(Atlantic!G20,Bergen!G20,Burlington!G20,Camden!G20,'Cape May'!G20,Cumberland!G20,Essex!G20,Gloucester!G20,Hudson!G20,Hunterdon!G20,Mercer!G20,Middlesex!G20,Monmouth!G20,Morris!G20,Ocean!G20,Passaic!G20,Salem!G20,Somerset!G20,Sussex!G20,Union!G20,Warren!G20)</f>
        <v>67668.627499999988</v>
      </c>
      <c r="H23" s="294">
        <f>SUM(Atlantic!H20,Bergen!H20,Burlington!H20,Camden!H20,'Cape May'!H20,Cumberland!H20,Essex!H20,Gloucester!H20,Hudson!H20,Hunterdon!H20,Mercer!H20,Middlesex!H20,Monmouth!H20,Morris!H20,Ocean!H20,Passaic!H20,Salem!H20,Somerset!H20,Sussex!H20,Union!H20,Warren!H20)</f>
        <v>67668.627499999988</v>
      </c>
      <c r="I23" s="16">
        <f>SUM(Atlantic!I20,Bergen!I20,Burlington!I20,Camden!I20,'Cape May'!I20,Cumberland!I20,Essex!I20,Gloucester!I20,Hudson!I20,Hunterdon!I20,Mercer!I20,Middlesex!I20,Monmouth!I20,Morris!I20,Ocean!I20,Passaic!I20,Salem!I20,Somerset!I20,Sussex!I20,Union!I20,Warren!I20)</f>
        <v>0</v>
      </c>
      <c r="J23" s="16">
        <f>SUM(Atlantic!J20,Bergen!J20,Burlington!J20,Camden!J20,'Cape May'!J20,Cumberland!J20,Essex!J20,Gloucester!J20,Hudson!J20,Hunterdon!J20,Mercer!J20,Middlesex!J20,Monmouth!J20,Morris!J20,Ocean!J20,Passaic!J20,Salem!J20,Somerset!J20,Sussex!J20,Union!J20,Warren!J20)</f>
        <v>0</v>
      </c>
      <c r="K23" s="16">
        <f>SUM(Atlantic!K20,Bergen!K20,Burlington!K20,Camden!K20,'Cape May'!K20,Cumberland!K20,Essex!K20,Gloucester!K20,Hudson!K20,Hunterdon!K20,Mercer!K20,Middlesex!K20,Monmouth!K20,Morris!K20,Ocean!K20,Passaic!K20,Salem!K20,Somerset!K20,Sussex!K20,Union!K20,Warren!K20)</f>
        <v>0</v>
      </c>
      <c r="L23" s="16">
        <f>SUM(Atlantic!L20,Bergen!L20,Burlington!L20,Camden!L20,'Cape May'!L20,Cumberland!L20,Essex!L20,Gloucester!L20,Hudson!L20,Hunterdon!L20,Mercer!L20,Middlesex!L20,Monmouth!L20,Morris!L20,Ocean!L20,Passaic!L20,Salem!L20,Somerset!L20,Sussex!L20,Union!L20,Warren!L20)</f>
        <v>0</v>
      </c>
      <c r="M23" s="16">
        <f>SUM(Atlantic!M20,Bergen!M20,Burlington!M20,Camden!M20,'Cape May'!M20,Cumberland!M20,Essex!M20,Gloucester!M20,Hudson!M20,Hunterdon!M20,Mercer!M20,Middlesex!M20,Monmouth!M20,Morris!M20,Ocean!M20,Passaic!M20,Salem!M20,Somerset!M20,Sussex!M20,Union!M20,Warren!M20)</f>
        <v>0</v>
      </c>
      <c r="N23" s="16">
        <f>SUM(Atlantic!N20,Bergen!N20,Burlington!N20,Camden!N20,'Cape May'!N20,Cumberland!N20,Essex!N20,Gloucester!N20,Hudson!N20,Hunterdon!N20,Mercer!N20,Middlesex!N20,Monmouth!N20,Morris!N20,Ocean!N20,Passaic!N20,Salem!N20,Somerset!N20,Sussex!N20,Union!N20,Warren!N20)</f>
        <v>0</v>
      </c>
      <c r="O23" s="16">
        <f>SUM(Atlantic!O20,Bergen!O20,Burlington!O20,Camden!O20,'Cape May'!O20,Cumberland!O20,Essex!O20,Gloucester!O20,Hudson!O20,Hunterdon!O20,Mercer!O20,Middlesex!O20,Monmouth!O20,Morris!O20,Ocean!O20,Passaic!O20,Salem!O20,Somerset!O20,Sussex!O20,Union!O20,Warren!O20)</f>
        <v>0</v>
      </c>
      <c r="P23" s="16">
        <f>SUM(Atlantic!P20,Bergen!P20,Burlington!P20,Camden!P20,'Cape May'!P20,Cumberland!P20,Essex!P20,Gloucester!P20,Hudson!P20,Hunterdon!P20,Mercer!P20,Middlesex!P20,Monmouth!P20,Morris!P20,Ocean!P20,Passaic!P20,Salem!P20,Somerset!P20,Sussex!P20,Union!P20,Warren!P20)</f>
        <v>0</v>
      </c>
      <c r="Q23" s="16">
        <f>IF($B$4=$X$19,M23*'Technology Assumptions'!B$34,IF('Bioenergy Calculator'!$B$4='Bioenergy Calculator'!$X$21,M23*'Technology Assumptions'!B$34,IF('Bioenergy Calculator'!$B$4='Bioenergy Calculator'!$X$20,'Bioenergy Calculator'!M23*'Technology Assumptions'!B$36,IF('Bioenergy Calculator'!$B$4='Bioenergy Calculator'!$X$23,'Bioenergy Calculator'!M23*'Technology Assumptions'!B$35,IF('Bioenergy Calculator'!$B$4='Bioenergy Calculator'!$X$22,'Bioenergy Calculator'!M23*'Technology Assumptions'!B$37,'Bioenergy Calculator'!M23)))))</f>
        <v>0</v>
      </c>
      <c r="R23" s="16">
        <f>IF($B$4=$X$19,N23*'Technology Assumptions'!C$34,IF('Bioenergy Calculator'!$B$4='Bioenergy Calculator'!$X$21,N23*'Technology Assumptions'!C$34,IF('Bioenergy Calculator'!$B$4='Bioenergy Calculator'!$X$20,'Bioenergy Calculator'!N23*'Technology Assumptions'!C$36,IF('Bioenergy Calculator'!$B$4='Bioenergy Calculator'!$X$23,'Bioenergy Calculator'!N23*'Technology Assumptions'!C$35,IF('Bioenergy Calculator'!$B$4='Bioenergy Calculator'!$X$22,'Bioenergy Calculator'!N23*'Technology Assumptions'!C$37,'Bioenergy Calculator'!N23)))))</f>
        <v>0</v>
      </c>
      <c r="S23" s="16">
        <f>IF($B$4=$X$19,O23*'Technology Assumptions'!D$34,IF('Bioenergy Calculator'!$B$4='Bioenergy Calculator'!$X$21,O23*'Technology Assumptions'!D$34,IF('Bioenergy Calculator'!$B$4='Bioenergy Calculator'!$X$20,'Bioenergy Calculator'!O23*'Technology Assumptions'!D$36,IF('Bioenergy Calculator'!$B$4='Bioenergy Calculator'!$X$23,'Bioenergy Calculator'!O23*'Technology Assumptions'!D$35,IF('Bioenergy Calculator'!$B$4='Bioenergy Calculator'!$X$22,'Bioenergy Calculator'!O23*'Technology Assumptions'!D$37,'Bioenergy Calculator'!O23)))))</f>
        <v>0</v>
      </c>
      <c r="T23" s="16">
        <f>IF($B$4=$X$19,P23*'Technology Assumptions'!E$34,IF('Bioenergy Calculator'!$B$4='Bioenergy Calculator'!$X$21,P23*'Technology Assumptions'!E$34,IF('Bioenergy Calculator'!$B$4='Bioenergy Calculator'!$X$20,'Bioenergy Calculator'!P23*'Technology Assumptions'!E$36,IF('Bioenergy Calculator'!$B$4='Bioenergy Calculator'!$X$23,'Bioenergy Calculator'!P23*'Technology Assumptions'!E$35,IF('Bioenergy Calculator'!$B$4='Bioenergy Calculator'!$X$22,'Bioenergy Calculator'!P23*'Technology Assumptions'!E$37,'Bioenergy Calculator'!P23)))))</f>
        <v>0</v>
      </c>
      <c r="X23" t="s">
        <v>459</v>
      </c>
    </row>
    <row r="24" spans="1:24" x14ac:dyDescent="0.25">
      <c r="A24" s="1065"/>
      <c r="B24" s="11" t="str">
        <f>Atlantic!B21</f>
        <v>Wheat</v>
      </c>
      <c r="C24" s="294">
        <f>SUM(Atlantic!C21,Bergen!C21,Burlington!C21,Camden!C21,'Cape May'!C21,Cumberland!C21,Essex!C21,Gloucester!C21,Hudson!C21,Hunterdon!C21,Mercer!C21,Middlesex!C21,Monmouth!C21,Morris!C21,Ocean!C21,Passaic!C21,Salem!C21,Somerset!C21,Sussex!C21,Union!C21,Warren!C21)</f>
        <v>38846.062499999993</v>
      </c>
      <c r="D24" s="294">
        <f>E24*'Conversion Tables'!C20</f>
        <v>0</v>
      </c>
      <c r="E24" s="294">
        <f>SUM(Atlantic!E21,Bergen!E21,Burlington!E21,Camden!E21,'Cape May'!E21,Cumberland!E21,Essex!E21,Gloucester!E21,Hudson!E21,Hunterdon!E21,Mercer!E21,Middlesex!E21,Monmouth!E21,Morris!E21,Ocean!E21,Passaic!E21,Salem!E21,Somerset!E21,Sussex!E21,Union!E21,Warren!E21)</f>
        <v>0</v>
      </c>
      <c r="F24" s="294">
        <f>SUM(Atlantic!F21,Bergen!F21,Burlington!F21,Camden!F21,'Cape May'!F21,Cumberland!F21,Essex!F21,Gloucester!F21,Hudson!F21,Hunterdon!F21,Mercer!F21,Middlesex!F21,Monmouth!F21,Morris!F21,Ocean!F21,Passaic!F21,Salem!F21,Somerset!F21,Sussex!F21,Union!F21,Warren!F21)</f>
        <v>0</v>
      </c>
      <c r="G24" s="294">
        <f>SUM(Atlantic!G21,Bergen!G21,Burlington!G21,Camden!G21,'Cape May'!G21,Cumberland!G21,Essex!G21,Gloucester!G21,Hudson!G21,Hunterdon!G21,Mercer!G21,Middlesex!G21,Monmouth!G21,Morris!G21,Ocean!G21,Passaic!G21,Salem!G21,Somerset!G21,Sussex!G21,Union!G21,Warren!G21)</f>
        <v>0</v>
      </c>
      <c r="H24" s="294">
        <f>SUM(Atlantic!H21,Bergen!H21,Burlington!H21,Camden!H21,'Cape May'!H21,Cumberland!H21,Essex!H21,Gloucester!H21,Hudson!H21,Hunterdon!H21,Mercer!H21,Middlesex!H21,Monmouth!H21,Morris!H21,Ocean!H21,Passaic!H21,Salem!H21,Somerset!H21,Sussex!H21,Union!H21,Warren!H21)</f>
        <v>0</v>
      </c>
      <c r="I24" s="16">
        <f>SUM(Atlantic!I21,Bergen!I21,Burlington!I21,Camden!I21,'Cape May'!I21,Cumberland!I21,Essex!I21,Gloucester!I21,Hudson!I21,Hunterdon!I21,Mercer!I21,Middlesex!I21,Monmouth!I21,Morris!I21,Ocean!I21,Passaic!I21,Salem!I21,Somerset!I21,Sussex!I21,Union!I21,Warren!I21)</f>
        <v>0</v>
      </c>
      <c r="J24" s="16">
        <f>SUM(Atlantic!J21,Bergen!J21,Burlington!J21,Camden!J21,'Cape May'!J21,Cumberland!J21,Essex!J21,Gloucester!J21,Hudson!J21,Hunterdon!J21,Mercer!J21,Middlesex!J21,Monmouth!J21,Morris!J21,Ocean!J21,Passaic!J21,Salem!J21,Somerset!J21,Sussex!J21,Union!J21,Warren!J21)</f>
        <v>0</v>
      </c>
      <c r="K24" s="16">
        <f>SUM(Atlantic!K21,Bergen!K21,Burlington!K21,Camden!K21,'Cape May'!K21,Cumberland!K21,Essex!K21,Gloucester!K21,Hudson!K21,Hunterdon!K21,Mercer!K21,Middlesex!K21,Monmouth!K21,Morris!K21,Ocean!K21,Passaic!K21,Salem!K21,Somerset!K21,Sussex!K21,Union!K21,Warren!K21)</f>
        <v>0</v>
      </c>
      <c r="L24" s="16">
        <f>SUM(Atlantic!L21,Bergen!L21,Burlington!L21,Camden!L21,'Cape May'!L21,Cumberland!L21,Essex!L21,Gloucester!L21,Hudson!L21,Hunterdon!L21,Mercer!L21,Middlesex!L21,Monmouth!L21,Morris!L21,Ocean!L21,Passaic!L21,Salem!L21,Somerset!L21,Sussex!L21,Union!L21,Warren!L21)</f>
        <v>0</v>
      </c>
      <c r="M24" s="16">
        <f>SUM(Atlantic!M21,Bergen!M21,Burlington!M21,Camden!M21,'Cape May'!M21,Cumberland!M21,Essex!M21,Gloucester!M21,Hudson!M21,Hunterdon!M21,Mercer!M21,Middlesex!M21,Monmouth!M21,Morris!M21,Ocean!M21,Passaic!M21,Salem!M21,Somerset!M21,Sussex!M21,Union!M21,Warren!M21)</f>
        <v>0</v>
      </c>
      <c r="N24" s="16">
        <f>SUM(Atlantic!N21,Bergen!N21,Burlington!N21,Camden!N21,'Cape May'!N21,Cumberland!N21,Essex!N21,Gloucester!N21,Hudson!N21,Hunterdon!N21,Mercer!N21,Middlesex!N21,Monmouth!N21,Morris!N21,Ocean!N21,Passaic!N21,Salem!N21,Somerset!N21,Sussex!N21,Union!N21,Warren!N21)</f>
        <v>0</v>
      </c>
      <c r="O24" s="16">
        <f>SUM(Atlantic!O21,Bergen!O21,Burlington!O21,Camden!O21,'Cape May'!O21,Cumberland!O21,Essex!O21,Gloucester!O21,Hudson!O21,Hunterdon!O21,Mercer!O21,Middlesex!O21,Monmouth!O21,Morris!O21,Ocean!O21,Passaic!O21,Salem!O21,Somerset!O21,Sussex!O21,Union!O21,Warren!O21)</f>
        <v>0</v>
      </c>
      <c r="P24" s="16">
        <f>SUM(Atlantic!P21,Bergen!P21,Burlington!P21,Camden!P21,'Cape May'!P21,Cumberland!P21,Essex!P21,Gloucester!P21,Hudson!P21,Hunterdon!P21,Mercer!P21,Middlesex!P21,Monmouth!P21,Morris!P21,Ocean!P21,Passaic!P21,Salem!P21,Somerset!P21,Sussex!P21,Union!P21,Warren!P21)</f>
        <v>0</v>
      </c>
      <c r="Q24" s="16">
        <f>IF($B$4=$X$19,M24*'Technology Assumptions'!B$34,IF('Bioenergy Calculator'!$B$4='Bioenergy Calculator'!$X$21,M24*'Technology Assumptions'!B$34,IF('Bioenergy Calculator'!$B$4='Bioenergy Calculator'!$X$20,'Bioenergy Calculator'!M24*'Technology Assumptions'!B$36,IF('Bioenergy Calculator'!$B$4='Bioenergy Calculator'!$X$23,'Bioenergy Calculator'!M24*'Technology Assumptions'!B$35,IF('Bioenergy Calculator'!$B$4='Bioenergy Calculator'!$X$22,'Bioenergy Calculator'!M24*'Technology Assumptions'!B$37,'Bioenergy Calculator'!M24)))))</f>
        <v>0</v>
      </c>
      <c r="R24" s="16">
        <f>IF($B$4=$X$19,N24*'Technology Assumptions'!C$34,IF('Bioenergy Calculator'!$B$4='Bioenergy Calculator'!$X$21,N24*'Technology Assumptions'!C$34,IF('Bioenergy Calculator'!$B$4='Bioenergy Calculator'!$X$20,'Bioenergy Calculator'!N24*'Technology Assumptions'!C$36,IF('Bioenergy Calculator'!$B$4='Bioenergy Calculator'!$X$23,'Bioenergy Calculator'!N24*'Technology Assumptions'!C$35,IF('Bioenergy Calculator'!$B$4='Bioenergy Calculator'!$X$22,'Bioenergy Calculator'!N24*'Technology Assumptions'!C$37,'Bioenergy Calculator'!N24)))))</f>
        <v>0</v>
      </c>
      <c r="S24" s="16">
        <f>IF($B$4=$X$19,O24*'Technology Assumptions'!D$34,IF('Bioenergy Calculator'!$B$4='Bioenergy Calculator'!$X$21,O24*'Technology Assumptions'!D$34,IF('Bioenergy Calculator'!$B$4='Bioenergy Calculator'!$X$20,'Bioenergy Calculator'!O24*'Technology Assumptions'!D$36,IF('Bioenergy Calculator'!$B$4='Bioenergy Calculator'!$X$23,'Bioenergy Calculator'!O24*'Technology Assumptions'!D$35,IF('Bioenergy Calculator'!$B$4='Bioenergy Calculator'!$X$22,'Bioenergy Calculator'!O24*'Technology Assumptions'!D$37,'Bioenergy Calculator'!O24)))))</f>
        <v>0</v>
      </c>
      <c r="T24" s="16">
        <f>IF($B$4=$X$19,P24*'Technology Assumptions'!E$34,IF('Bioenergy Calculator'!$B$4='Bioenergy Calculator'!$X$21,P24*'Technology Assumptions'!E$34,IF('Bioenergy Calculator'!$B$4='Bioenergy Calculator'!$X$20,'Bioenergy Calculator'!P24*'Technology Assumptions'!E$36,IF('Bioenergy Calculator'!$B$4='Bioenergy Calculator'!$X$23,'Bioenergy Calculator'!P24*'Technology Assumptions'!E$35,IF('Bioenergy Calculator'!$B$4='Bioenergy Calculator'!$X$22,'Bioenergy Calculator'!P24*'Technology Assumptions'!E$37,'Bioenergy Calculator'!P24)))))</f>
        <v>0</v>
      </c>
      <c r="X24" t="s">
        <v>278</v>
      </c>
    </row>
    <row r="25" spans="1:24" x14ac:dyDescent="0.25">
      <c r="A25" s="1065"/>
      <c r="B25" s="839" t="str">
        <f>Atlantic!B22</f>
        <v>Forestry Residues</v>
      </c>
      <c r="C25" s="294">
        <f>SUM(Atlantic!C22,Bergen!C22,Burlington!C22,Camden!C22,'Cape May'!C22,Cumberland!C22,Essex!C22,Gloucester!C22,Hudson!C22,Hunterdon!C22,Mercer!C22,Middlesex!C22,Monmouth!C22,Morris!C22,Ocean!C22,Passaic!C22,Salem!C22,Somerset!C22,Sussex!C22,Union!C22,Warren!C22)</f>
        <v>916426</v>
      </c>
      <c r="D25" s="294">
        <f>E25*'Conversion Tables'!C21</f>
        <v>7148122.7999999998</v>
      </c>
      <c r="E25" s="294">
        <f>SUM(Atlantic!E22,Bergen!E22,Burlington!E22,Camden!E22,'Cape May'!E22,Cumberland!E22,Essex!E22,Gloucester!E22,Hudson!E22,Hunterdon!E22,Mercer!E22,Middlesex!E22,Monmouth!E22,Morris!E22,Ocean!E22,Passaic!E22,Salem!E22,Somerset!E22,Sussex!E22,Union!E22,Warren!E22)</f>
        <v>458213</v>
      </c>
      <c r="F25" s="294">
        <f>SUM(Atlantic!F22,Bergen!F22,Burlington!F22,Camden!F22,'Cape May'!F22,Cumberland!F22,Essex!F22,Gloucester!F22,Hudson!F22,Hunterdon!F22,Mercer!F22,Middlesex!F22,Monmouth!F22,Morris!F22,Ocean!F22,Passaic!F22,Salem!F22,Somerset!F22,Sussex!F22,Union!F22,Warren!F22)</f>
        <v>458213</v>
      </c>
      <c r="G25" s="294">
        <f>SUM(Atlantic!G22,Bergen!G22,Burlington!G22,Camden!G22,'Cape May'!G22,Cumberland!G22,Essex!G22,Gloucester!G22,Hudson!G22,Hunterdon!G22,Mercer!G22,Middlesex!G22,Monmouth!G22,Morris!G22,Ocean!G22,Passaic!G22,Salem!G22,Somerset!G22,Sussex!G22,Union!G22,Warren!G22)</f>
        <v>458213</v>
      </c>
      <c r="H25" s="294">
        <f>SUM(Atlantic!H22,Bergen!H22,Burlington!H22,Camden!H22,'Cape May'!H22,Cumberland!H22,Essex!H22,Gloucester!H22,Hudson!H22,Hunterdon!H22,Mercer!H22,Middlesex!H22,Monmouth!H22,Morris!H22,Ocean!H22,Passaic!H22,Salem!H22,Somerset!H22,Sussex!H22,Union!H22,Warren!H22)</f>
        <v>458213</v>
      </c>
      <c r="I25" s="16">
        <f>SUM(Atlantic!I22,Bergen!I22,Burlington!I22,Camden!I22,'Cape May'!I22,Cumberland!I22,Essex!I22,Gloucester!I22,Hudson!I22,Hunterdon!I22,Mercer!I22,Middlesex!I22,Monmouth!I22,Morris!I22,Ocean!I22,Passaic!I22,Salem!I22,Somerset!I22,Sussex!I22,Union!I22,Warren!I22)</f>
        <v>0</v>
      </c>
      <c r="J25" s="16">
        <f>SUM(Atlantic!J22,Bergen!J22,Burlington!J22,Camden!J22,'Cape May'!J22,Cumberland!J22,Essex!J22,Gloucester!J22,Hudson!J22,Hunterdon!J22,Mercer!J22,Middlesex!J22,Monmouth!J22,Morris!J22,Ocean!J22,Passaic!J22,Salem!J22,Somerset!J22,Sussex!J22,Union!J22,Warren!J22)</f>
        <v>0</v>
      </c>
      <c r="K25" s="16">
        <f>SUM(Atlantic!K22,Bergen!K22,Burlington!K22,Camden!K22,'Cape May'!K22,Cumberland!K22,Essex!K22,Gloucester!K22,Hudson!K22,Hunterdon!K22,Mercer!K22,Middlesex!K22,Monmouth!K22,Morris!K22,Ocean!K22,Passaic!K22,Salem!K22,Somerset!K22,Sussex!K22,Union!K22,Warren!K22)</f>
        <v>0</v>
      </c>
      <c r="L25" s="16">
        <f>SUM(Atlantic!L22,Bergen!L22,Burlington!L22,Camden!L22,'Cape May'!L22,Cumberland!L22,Essex!L22,Gloucester!L22,Hudson!L22,Hunterdon!L22,Mercer!L22,Middlesex!L22,Monmouth!L22,Morris!L22,Ocean!L22,Passaic!L22,Salem!L22,Somerset!L22,Sussex!L22,Union!L22,Warren!L22)</f>
        <v>0</v>
      </c>
      <c r="M25" s="16">
        <f>SUM(Atlantic!M22,Bergen!M22,Burlington!M22,Camden!M22,'Cape May'!M22,Cumberland!M22,Essex!M22,Gloucester!M22,Hudson!M22,Hunterdon!M22,Mercer!M22,Middlesex!M22,Monmouth!M22,Morris!M22,Ocean!M22,Passaic!M22,Salem!M22,Somerset!M22,Sussex!M22,Union!M22,Warren!M22)</f>
        <v>0</v>
      </c>
      <c r="N25" s="16">
        <f>SUM(Atlantic!N22,Bergen!N22,Burlington!N22,Camden!N22,'Cape May'!N22,Cumberland!N22,Essex!N22,Gloucester!N22,Hudson!N22,Hunterdon!N22,Mercer!N22,Middlesex!N22,Monmouth!N22,Morris!N22,Ocean!N22,Passaic!N22,Salem!N22,Somerset!N22,Sussex!N22,Union!N22,Warren!N22)</f>
        <v>0</v>
      </c>
      <c r="O25" s="16">
        <f>SUM(Atlantic!O22,Bergen!O22,Burlington!O22,Camden!O22,'Cape May'!O22,Cumberland!O22,Essex!O22,Gloucester!O22,Hudson!O22,Hunterdon!O22,Mercer!O22,Middlesex!O22,Monmouth!O22,Morris!O22,Ocean!O22,Passaic!O22,Salem!O22,Somerset!O22,Sussex!O22,Union!O22,Warren!O22)</f>
        <v>0</v>
      </c>
      <c r="P25" s="16">
        <f>SUM(Atlantic!P22,Bergen!P22,Burlington!P22,Camden!P22,'Cape May'!P22,Cumberland!P22,Essex!P22,Gloucester!P22,Hudson!P22,Hunterdon!P22,Mercer!P22,Middlesex!P22,Monmouth!P22,Morris!P22,Ocean!P22,Passaic!P22,Salem!P22,Somerset!P22,Sussex!P22,Union!P22,Warren!P22)</f>
        <v>0</v>
      </c>
      <c r="Q25" s="16">
        <f>IF($B$4=$X$19,M25*'Technology Assumptions'!B$34,IF('Bioenergy Calculator'!$B$4='Bioenergy Calculator'!$X$21,M25*'Technology Assumptions'!B$34,IF('Bioenergy Calculator'!$B$4='Bioenergy Calculator'!$X$20,'Bioenergy Calculator'!M25*'Technology Assumptions'!B$36,IF('Bioenergy Calculator'!$B$4='Bioenergy Calculator'!$X$23,'Bioenergy Calculator'!M25*'Technology Assumptions'!B$35,IF('Bioenergy Calculator'!$B$4='Bioenergy Calculator'!$X$22,'Bioenergy Calculator'!M25*'Technology Assumptions'!B$37,'Bioenergy Calculator'!M25)))))</f>
        <v>0</v>
      </c>
      <c r="R25" s="16">
        <f>IF($B$4=$X$19,N25*'Technology Assumptions'!C$34,IF('Bioenergy Calculator'!$B$4='Bioenergy Calculator'!$X$21,N25*'Technology Assumptions'!C$34,IF('Bioenergy Calculator'!$B$4='Bioenergy Calculator'!$X$20,'Bioenergy Calculator'!N25*'Technology Assumptions'!C$36,IF('Bioenergy Calculator'!$B$4='Bioenergy Calculator'!$X$23,'Bioenergy Calculator'!N25*'Technology Assumptions'!C$35,IF('Bioenergy Calculator'!$B$4='Bioenergy Calculator'!$X$22,'Bioenergy Calculator'!N25*'Technology Assumptions'!C$37,'Bioenergy Calculator'!N25)))))</f>
        <v>0</v>
      </c>
      <c r="S25" s="16">
        <f>IF($B$4=$X$19,O25*'Technology Assumptions'!D$34,IF('Bioenergy Calculator'!$B$4='Bioenergy Calculator'!$X$21,O25*'Technology Assumptions'!D$34,IF('Bioenergy Calculator'!$B$4='Bioenergy Calculator'!$X$20,'Bioenergy Calculator'!O25*'Technology Assumptions'!D$36,IF('Bioenergy Calculator'!$B$4='Bioenergy Calculator'!$X$23,'Bioenergy Calculator'!O25*'Technology Assumptions'!D$35,IF('Bioenergy Calculator'!$B$4='Bioenergy Calculator'!$X$22,'Bioenergy Calculator'!O25*'Technology Assumptions'!D$37,'Bioenergy Calculator'!O25)))))</f>
        <v>0</v>
      </c>
      <c r="T25" s="16">
        <f>IF($B$4=$X$19,P25*'Technology Assumptions'!E$34,IF('Bioenergy Calculator'!$B$4='Bioenergy Calculator'!$X$21,P25*'Technology Assumptions'!E$34,IF('Bioenergy Calculator'!$B$4='Bioenergy Calculator'!$X$20,'Bioenergy Calculator'!P25*'Technology Assumptions'!E$36,IF('Bioenergy Calculator'!$B$4='Bioenergy Calculator'!$X$23,'Bioenergy Calculator'!P25*'Technology Assumptions'!E$35,IF('Bioenergy Calculator'!$B$4='Bioenergy Calculator'!$X$22,'Bioenergy Calculator'!P25*'Technology Assumptions'!E$37,'Bioenergy Calculator'!P25)))))</f>
        <v>0</v>
      </c>
      <c r="X25" t="s">
        <v>277</v>
      </c>
    </row>
    <row r="26" spans="1:24" x14ac:dyDescent="0.25">
      <c r="A26" s="1065"/>
      <c r="B26" s="129" t="s">
        <v>302</v>
      </c>
      <c r="C26" s="294">
        <f>SUM(Atlantic!C23,Bergen!C23,Burlington!C23,Camden!C23,'Cape May'!C23,Cumberland!C23,Essex!C23,Gloucester!C23,Hudson!C23,Hunterdon!C23,Mercer!C23,Middlesex!C23,Monmouth!C23,Morris!C23,Ocean!C23,Passaic!C23,Salem!C23,Somerset!C23,Sussex!C23,Union!C23,Warren!C23)</f>
        <v>125562.10000000002</v>
      </c>
      <c r="D26" s="294">
        <f>E26*'Conversion Tables'!C22</f>
        <v>2051182.4656000002</v>
      </c>
      <c r="E26" s="294">
        <f>SUM(Atlantic!E23,Bergen!E23,Burlington!E23,Camden!E23,'Cape May'!E23,Cumberland!E23,Essex!E23,Gloucester!E23,Hudson!E23,Hunterdon!E23,Mercer!E23,Middlesex!E23,Monmouth!E23,Morris!E23,Ocean!E23,Passaic!E23,Salem!E23,Somerset!E23,Sussex!E23,Union!E23,Warren!E23)</f>
        <v>125562.10000000002</v>
      </c>
      <c r="F26" s="294">
        <f>SUM(Atlantic!F23,Bergen!F23,Burlington!F23,Camden!F23,'Cape May'!F23,Cumberland!F23,Essex!F23,Gloucester!F23,Hudson!F23,Hunterdon!F23,Mercer!F23,Middlesex!F23,Monmouth!F23,Morris!F23,Ocean!F23,Passaic!F23,Salem!F23,Somerset!F23,Sussex!F23,Union!F23,Warren!F23)</f>
        <v>125562.10000000002</v>
      </c>
      <c r="G26" s="294">
        <f>SUM(Atlantic!G23,Bergen!G23,Burlington!G23,Camden!G23,'Cape May'!G23,Cumberland!G23,Essex!G23,Gloucester!G23,Hudson!G23,Hunterdon!G23,Mercer!G23,Middlesex!G23,Monmouth!G23,Morris!G23,Ocean!G23,Passaic!G23,Salem!G23,Somerset!G23,Sussex!G23,Union!G23,Warren!G23)</f>
        <v>125562.10000000002</v>
      </c>
      <c r="H26" s="294">
        <f>SUM(Atlantic!H23,Bergen!H23,Burlington!H23,Camden!H23,'Cape May'!H23,Cumberland!H23,Essex!H23,Gloucester!H23,Hudson!H23,Hunterdon!H23,Mercer!H23,Middlesex!H23,Monmouth!H23,Morris!H23,Ocean!H23,Passaic!H23,Salem!H23,Somerset!H23,Sussex!H23,Union!H23,Warren!H23)</f>
        <v>125562.10000000002</v>
      </c>
      <c r="I26" s="16">
        <f>SUM(Atlantic!I23,Bergen!I23,Burlington!I23,Camden!I23,'Cape May'!I23,Cumberland!I23,Essex!I23,Gloucester!I23,Hudson!I23,Hunterdon!I23,Mercer!I23,Middlesex!I23,Monmouth!I23,Morris!I23,Ocean!I23,Passaic!I23,Salem!I23,Somerset!I23,Sussex!I23,Union!I23,Warren!I23)</f>
        <v>0</v>
      </c>
      <c r="J26" s="16">
        <f>SUM(Atlantic!J23,Bergen!J23,Burlington!J23,Camden!J23,'Cape May'!J23,Cumberland!J23,Essex!J23,Gloucester!J23,Hudson!J23,Hunterdon!J23,Mercer!J23,Middlesex!J23,Monmouth!J23,Morris!J23,Ocean!J23,Passaic!J23,Salem!J23,Somerset!J23,Sussex!J23,Union!J23,Warren!J23)</f>
        <v>0</v>
      </c>
      <c r="K26" s="16">
        <f>SUM(Atlantic!K23,Bergen!K23,Burlington!K23,Camden!K23,'Cape May'!K23,Cumberland!K23,Essex!K23,Gloucester!K23,Hudson!K23,Hunterdon!K23,Mercer!K23,Middlesex!K23,Monmouth!K23,Morris!K23,Ocean!K23,Passaic!K23,Salem!K23,Somerset!K23,Sussex!K23,Union!K23,Warren!K23)</f>
        <v>0</v>
      </c>
      <c r="L26" s="16">
        <f>SUM(Atlantic!L23,Bergen!L23,Burlington!L23,Camden!L23,'Cape May'!L23,Cumberland!L23,Essex!L23,Gloucester!L23,Hudson!L23,Hunterdon!L23,Mercer!L23,Middlesex!L23,Monmouth!L23,Morris!L23,Ocean!L23,Passaic!L23,Salem!L23,Somerset!L23,Sussex!L23,Union!L23,Warren!L23)</f>
        <v>0</v>
      </c>
      <c r="M26" s="16">
        <f>SUM(Atlantic!M23,Bergen!M23,Burlington!M23,Camden!M23,'Cape May'!M23,Cumberland!M23,Essex!M23,Gloucester!M23,Hudson!M23,Hunterdon!M23,Mercer!M23,Middlesex!M23,Monmouth!M23,Morris!M23,Ocean!M23,Passaic!M23,Salem!M23,Somerset!M23,Sussex!M23,Union!M23,Warren!M23)</f>
        <v>0</v>
      </c>
      <c r="N26" s="16">
        <f>SUM(Atlantic!N23,Bergen!N23,Burlington!N23,Camden!N23,'Cape May'!N23,Cumberland!N23,Essex!N23,Gloucester!N23,Hudson!N23,Hunterdon!N23,Mercer!N23,Middlesex!N23,Monmouth!N23,Morris!N23,Ocean!N23,Passaic!N23,Salem!N23,Somerset!N23,Sussex!N23,Union!N23,Warren!N23)</f>
        <v>0</v>
      </c>
      <c r="O26" s="16">
        <f>SUM(Atlantic!O23,Bergen!O23,Burlington!O23,Camden!O23,'Cape May'!O23,Cumberland!O23,Essex!O23,Gloucester!O23,Hudson!O23,Hunterdon!O23,Mercer!O23,Middlesex!O23,Monmouth!O23,Morris!O23,Ocean!O23,Passaic!O23,Salem!O23,Somerset!O23,Sussex!O23,Union!O23,Warren!O23)</f>
        <v>0</v>
      </c>
      <c r="P26" s="16">
        <f>SUM(Atlantic!P23,Bergen!P23,Burlington!P23,Camden!P23,'Cape May'!P23,Cumberland!P23,Essex!P23,Gloucester!P23,Hudson!P23,Hunterdon!P23,Mercer!P23,Middlesex!P23,Monmouth!P23,Morris!P23,Ocean!P23,Passaic!P23,Salem!P23,Somerset!P23,Sussex!P23,Union!P23,Warren!P23)</f>
        <v>0</v>
      </c>
      <c r="Q26" s="16">
        <f>IF($B$4=$X$19,M26*'Technology Assumptions'!B$34,IF('Bioenergy Calculator'!$B$4='Bioenergy Calculator'!$X$21,M26*'Technology Assumptions'!B$34,IF('Bioenergy Calculator'!$B$4='Bioenergy Calculator'!$X$20,'Bioenergy Calculator'!M26*'Technology Assumptions'!B$36,IF('Bioenergy Calculator'!$B$4='Bioenergy Calculator'!$X$23,'Bioenergy Calculator'!M26*'Technology Assumptions'!B$35,IF('Bioenergy Calculator'!$B$4='Bioenergy Calculator'!$X$22,'Bioenergy Calculator'!M26*'Technology Assumptions'!B$37,'Bioenergy Calculator'!M26)))))</f>
        <v>0</v>
      </c>
      <c r="R26" s="16">
        <f>IF($B$4=$X$19,N26*'Technology Assumptions'!C$34,IF('Bioenergy Calculator'!$B$4='Bioenergy Calculator'!$X$21,N26*'Technology Assumptions'!C$34,IF('Bioenergy Calculator'!$B$4='Bioenergy Calculator'!$X$20,'Bioenergy Calculator'!N26*'Technology Assumptions'!C$36,IF('Bioenergy Calculator'!$B$4='Bioenergy Calculator'!$X$23,'Bioenergy Calculator'!N26*'Technology Assumptions'!C$35,IF('Bioenergy Calculator'!$B$4='Bioenergy Calculator'!$X$22,'Bioenergy Calculator'!N26*'Technology Assumptions'!C$37,'Bioenergy Calculator'!N26)))))</f>
        <v>0</v>
      </c>
      <c r="S26" s="16">
        <f>IF($B$4=$X$19,O26*'Technology Assumptions'!D$34,IF('Bioenergy Calculator'!$B$4='Bioenergy Calculator'!$X$21,O26*'Technology Assumptions'!D$34,IF('Bioenergy Calculator'!$B$4='Bioenergy Calculator'!$X$20,'Bioenergy Calculator'!O26*'Technology Assumptions'!D$36,IF('Bioenergy Calculator'!$B$4='Bioenergy Calculator'!$X$23,'Bioenergy Calculator'!O26*'Technology Assumptions'!D$35,IF('Bioenergy Calculator'!$B$4='Bioenergy Calculator'!$X$22,'Bioenergy Calculator'!O26*'Technology Assumptions'!D$37,'Bioenergy Calculator'!O26)))))</f>
        <v>0</v>
      </c>
      <c r="T26" s="16">
        <f>IF($B$4=$X$19,P26*'Technology Assumptions'!E$34,IF('Bioenergy Calculator'!$B$4='Bioenergy Calculator'!$X$21,P26*'Technology Assumptions'!E$34,IF('Bioenergy Calculator'!$B$4='Bioenergy Calculator'!$X$20,'Bioenergy Calculator'!P26*'Technology Assumptions'!E$36,IF('Bioenergy Calculator'!$B$4='Bioenergy Calculator'!$X$23,'Bioenergy Calculator'!P26*'Technology Assumptions'!E$35,IF('Bioenergy Calculator'!$B$4='Bioenergy Calculator'!$X$22,'Bioenergy Calculator'!P26*'Technology Assumptions'!E$37,'Bioenergy Calculator'!P26)))))</f>
        <v>0</v>
      </c>
    </row>
    <row r="27" spans="1:24" x14ac:dyDescent="0.25">
      <c r="A27" s="1065"/>
      <c r="B27" s="1" t="s">
        <v>518</v>
      </c>
      <c r="C27" s="294" t="s">
        <v>154</v>
      </c>
      <c r="D27" s="294"/>
      <c r="E27" s="294" t="s">
        <v>154</v>
      </c>
      <c r="F27" s="294" t="s">
        <v>154</v>
      </c>
      <c r="G27" s="294" t="s">
        <v>154</v>
      </c>
      <c r="H27" s="294" t="s">
        <v>154</v>
      </c>
      <c r="I27" s="16"/>
      <c r="J27" s="16"/>
      <c r="K27" s="16"/>
      <c r="L27" s="16"/>
      <c r="M27" s="16"/>
      <c r="N27" s="16"/>
      <c r="O27" s="16"/>
      <c r="P27" s="16"/>
      <c r="Q27" s="16"/>
      <c r="R27" s="16"/>
      <c r="S27" s="16"/>
      <c r="T27" s="16"/>
    </row>
    <row r="28" spans="1:24" x14ac:dyDescent="0.25">
      <c r="A28" s="1065"/>
      <c r="B28" s="11" t="s">
        <v>559</v>
      </c>
      <c r="C28" s="294">
        <f>SUM(Atlantic!C25,Bergen!C25,Burlington!C25,Camden!C25,'Cape May'!C25,Cumberland!C25,Essex!C25,Gloucester!C25,Hudson!C25,Hunterdon!C25,Mercer!C25,Middlesex!C25,Monmouth!C25,Morris!C25,Ocean!C25,Passaic!C25,Salem!C25,Somerset!C25,Sussex!C25,Union!C25,Warren!C25)</f>
        <v>268796.86500000005</v>
      </c>
      <c r="D28" s="294">
        <f>E28*'Conversion Tables'!C24</f>
        <v>4757704.5105000008</v>
      </c>
      <c r="E28" s="294">
        <f>SUM(Atlantic!E25,Bergen!E25,Burlington!E25,Camden!E25,'Cape May'!E25,Cumberland!E25,Essex!E25,Gloucester!E25,Hudson!E25,Hunterdon!E25,Mercer!E25,Middlesex!E25,Monmouth!E25,Morris!E25,Ocean!E25,Passaic!E25,Salem!E25,Somerset!E25,Sussex!E25,Union!E25,Warren!E25)</f>
        <v>268796.86500000005</v>
      </c>
      <c r="F28" s="294">
        <f>SUM(Atlantic!F25,Bergen!F25,Burlington!F25,Camden!F25,'Cape May'!F25,Cumberland!F25,Essex!F25,Gloucester!F25,Hudson!F25,Hunterdon!F25,Mercer!F25,Middlesex!F25,Monmouth!F25,Morris!F25,Ocean!F25,Passaic!F25,Salem!F25,Somerset!F25,Sussex!F25,Union!F25,Warren!F25)</f>
        <v>273976.75781543646</v>
      </c>
      <c r="G28" s="294">
        <f>SUM(Atlantic!G25,Bergen!G25,Burlington!G25,Camden!G25,'Cape May'!G25,Cumberland!G25,Essex!G25,Gloucester!G25,Hudson!G25,Hunterdon!G25,Mercer!G25,Middlesex!G25,Monmouth!G25,Morris!G25,Ocean!G25,Passaic!G25,Salem!G25,Somerset!G25,Sussex!G25,Union!G25,Warren!G25)</f>
        <v>281093.44761372416</v>
      </c>
      <c r="H28" s="294">
        <f>SUM(Atlantic!H25,Bergen!H25,Burlington!H25,Camden!H25,'Cape May'!H25,Cumberland!H25,Essex!H25,Gloucester!H25,Hudson!H25,Hunterdon!H25,Mercer!H25,Middlesex!H25,Monmouth!H25,Morris!H25,Ocean!H25,Passaic!H25,Salem!H25,Somerset!H25,Sussex!H25,Union!H25,Warren!H25)</f>
        <v>287250.12444237375</v>
      </c>
      <c r="I28" s="16">
        <f>SUM(Atlantic!I25,Bergen!I25,Burlington!I25,Camden!I25,'Cape May'!I25,Cumberland!I25,Essex!I25,Gloucester!I25,Hudson!I25,Hunterdon!I25,Mercer!I25,Middlesex!I25,Monmouth!I25,Morris!I25,Ocean!I25,Passaic!I25,Salem!I25,Somerset!I25,Sussex!I25,Union!I25,Warren!I25)</f>
        <v>0</v>
      </c>
      <c r="J28" s="16">
        <f>SUM(Atlantic!J25,Bergen!J25,Burlington!J25,Camden!J25,'Cape May'!J25,Cumberland!J25,Essex!J25,Gloucester!J25,Hudson!J25,Hunterdon!J25,Mercer!J25,Middlesex!J25,Monmouth!J25,Morris!J25,Ocean!J25,Passaic!J25,Salem!J25,Somerset!J25,Sussex!J25,Union!J25,Warren!J25)</f>
        <v>0</v>
      </c>
      <c r="K28" s="16">
        <f>SUM(Atlantic!K25,Bergen!K25,Burlington!K25,Camden!K25,'Cape May'!K25,Cumberland!K25,Essex!K25,Gloucester!K25,Hudson!K25,Hunterdon!K25,Mercer!K25,Middlesex!K25,Monmouth!K25,Morris!K25,Ocean!K25,Passaic!K25,Salem!K25,Somerset!K25,Sussex!K25,Union!K25,Warren!K25)</f>
        <v>0</v>
      </c>
      <c r="L28" s="16">
        <f>SUM(Atlantic!L25,Bergen!L25,Burlington!L25,Camden!L25,'Cape May'!L25,Cumberland!L25,Essex!L25,Gloucester!L25,Hudson!L25,Hunterdon!L25,Mercer!L25,Middlesex!L25,Monmouth!L25,Morris!L25,Ocean!L25,Passaic!L25,Salem!L25,Somerset!L25,Sussex!L25,Union!L25,Warren!L25)</f>
        <v>0</v>
      </c>
      <c r="M28" s="16">
        <f>SUM(Atlantic!M25,Bergen!M25,Burlington!M25,Camden!M25,'Cape May'!M25,Cumberland!M25,Essex!M25,Gloucester!M25,Hudson!M25,Hunterdon!M25,Mercer!M25,Middlesex!M25,Monmouth!M25,Morris!M25,Ocean!M25,Passaic!M25,Salem!M25,Somerset!M25,Sussex!M25,Union!M25,Warren!M25)</f>
        <v>0</v>
      </c>
      <c r="N28" s="16">
        <f>SUM(Atlantic!N25,Bergen!N25,Burlington!N25,Camden!N25,'Cape May'!N25,Cumberland!N25,Essex!N25,Gloucester!N25,Hudson!N25,Hunterdon!N25,Mercer!N25,Middlesex!N25,Monmouth!N25,Morris!N25,Ocean!N25,Passaic!N25,Salem!N25,Somerset!N25,Sussex!N25,Union!N25,Warren!N25)</f>
        <v>0</v>
      </c>
      <c r="O28" s="16">
        <f>SUM(Atlantic!O25,Bergen!O25,Burlington!O25,Camden!O25,'Cape May'!O25,Cumberland!O25,Essex!O25,Gloucester!O25,Hudson!O25,Hunterdon!O25,Mercer!O25,Middlesex!O25,Monmouth!O25,Morris!O25,Ocean!O25,Passaic!O25,Salem!O25,Somerset!O25,Sussex!O25,Union!O25,Warren!O25)</f>
        <v>0</v>
      </c>
      <c r="P28" s="16">
        <f>SUM(Atlantic!P25,Bergen!P25,Burlington!P25,Camden!P25,'Cape May'!P25,Cumberland!P25,Essex!P25,Gloucester!P25,Hudson!P25,Hunterdon!P25,Mercer!P25,Middlesex!P25,Monmouth!P25,Morris!P25,Ocean!P25,Passaic!P25,Salem!P25,Somerset!P25,Sussex!P25,Union!P25,Warren!P25)</f>
        <v>0</v>
      </c>
      <c r="Q28" s="16">
        <f>IF($B$4=$X$19,M28*'Technology Assumptions'!B$34,IF('Bioenergy Calculator'!$B$4='Bioenergy Calculator'!$X$21,M28*'Technology Assumptions'!B$34,IF('Bioenergy Calculator'!$B$4='Bioenergy Calculator'!$X$20,'Bioenergy Calculator'!M28*'Technology Assumptions'!B$36,IF('Bioenergy Calculator'!$B$4='Bioenergy Calculator'!$X$23,'Bioenergy Calculator'!M28*'Technology Assumptions'!B$35,IF('Bioenergy Calculator'!$B$4='Bioenergy Calculator'!$X$22,'Bioenergy Calculator'!M28*'Technology Assumptions'!B$37,'Bioenergy Calculator'!M28)))))</f>
        <v>0</v>
      </c>
      <c r="R28" s="16">
        <f>IF($B$4=$X$19,N28*'Technology Assumptions'!C$34,IF('Bioenergy Calculator'!$B$4='Bioenergy Calculator'!$X$21,N28*'Technology Assumptions'!C$34,IF('Bioenergy Calculator'!$B$4='Bioenergy Calculator'!$X$20,'Bioenergy Calculator'!N28*'Technology Assumptions'!C$36,IF('Bioenergy Calculator'!$B$4='Bioenergy Calculator'!$X$23,'Bioenergy Calculator'!N28*'Technology Assumptions'!C$35,IF('Bioenergy Calculator'!$B$4='Bioenergy Calculator'!$X$22,'Bioenergy Calculator'!N28*'Technology Assumptions'!C$37,'Bioenergy Calculator'!N28)))))</f>
        <v>0</v>
      </c>
      <c r="S28" s="16">
        <f>IF($B$4=$X$19,O28*'Technology Assumptions'!D$34,IF('Bioenergy Calculator'!$B$4='Bioenergy Calculator'!$X$21,O28*'Technology Assumptions'!D$34,IF('Bioenergy Calculator'!$B$4='Bioenergy Calculator'!$X$20,'Bioenergy Calculator'!O28*'Technology Assumptions'!D$36,IF('Bioenergy Calculator'!$B$4='Bioenergy Calculator'!$X$23,'Bioenergy Calculator'!O28*'Technology Assumptions'!D$35,IF('Bioenergy Calculator'!$B$4='Bioenergy Calculator'!$X$22,'Bioenergy Calculator'!O28*'Technology Assumptions'!D$37,'Bioenergy Calculator'!O28)))))</f>
        <v>0</v>
      </c>
      <c r="T28" s="16">
        <f>IF($B$4=$X$19,P28*'Technology Assumptions'!E$34,IF('Bioenergy Calculator'!$B$4='Bioenergy Calculator'!$X$21,P28*'Technology Assumptions'!E$34,IF('Bioenergy Calculator'!$B$4='Bioenergy Calculator'!$X$20,'Bioenergy Calculator'!P28*'Technology Assumptions'!E$36,IF('Bioenergy Calculator'!$B$4='Bioenergy Calculator'!$X$23,'Bioenergy Calculator'!P28*'Technology Assumptions'!E$35,IF('Bioenergy Calculator'!$B$4='Bioenergy Calculator'!$X$22,'Bioenergy Calculator'!P28*'Technology Assumptions'!E$37,'Bioenergy Calculator'!P28)))))</f>
        <v>0</v>
      </c>
    </row>
    <row r="29" spans="1:24" x14ac:dyDescent="0.25">
      <c r="A29" s="1065"/>
      <c r="B29" s="11" t="s">
        <v>560</v>
      </c>
      <c r="C29" s="294">
        <f>SUM(Atlantic!C26,Bergen!C26,Burlington!C26,Camden!C26,'Cape May'!C26,Cumberland!C26,Essex!C26,Gloucester!C26,Hudson!C26,Hunterdon!C26,Mercer!C26,Middlesex!C26,Monmouth!C26,Morris!C26,Ocean!C26,Passaic!C26,Salem!C26,Somerset!C26,Sussex!C26,Union!C26,Warren!C26)</f>
        <v>41283.739999999991</v>
      </c>
      <c r="D29" s="294">
        <f>E29*'Conversion Tables'!C25</f>
        <v>644026.34399999981</v>
      </c>
      <c r="E29" s="294">
        <f>SUM(Atlantic!E26,Bergen!E26,Burlington!E26,Camden!E26,'Cape May'!E26,Cumberland!E26,Essex!E26,Gloucester!E26,Hudson!E26,Hunterdon!E26,Mercer!E26,Middlesex!E26,Monmouth!E26,Morris!E26,Ocean!E26,Passaic!E26,Salem!E26,Somerset!E26,Sussex!E26,Union!E26,Warren!E26)</f>
        <v>41283.739999999991</v>
      </c>
      <c r="F29" s="294">
        <f>SUM(Atlantic!F26,Bergen!F26,Burlington!F26,Camden!F26,'Cape May'!F26,Cumberland!F26,Essex!F26,Gloucester!F26,Hudson!F26,Hunterdon!F26,Mercer!F26,Middlesex!F26,Monmouth!F26,Morris!F26,Ocean!F26,Passaic!F26,Salem!F26,Somerset!F26,Sussex!F26,Union!F26,Warren!F26)</f>
        <v>41857.475055046496</v>
      </c>
      <c r="G29" s="294">
        <f>SUM(Atlantic!G26,Bergen!G26,Burlington!G26,Camden!G26,'Cape May'!G26,Cumberland!G26,Essex!G26,Gloucester!G26,Hudson!G26,Hunterdon!G26,Mercer!G26,Middlesex!G26,Monmouth!G26,Morris!G26,Ocean!G26,Passaic!G26,Salem!G26,Somerset!G26,Sussex!G26,Union!G26,Warren!G26)</f>
        <v>42649.494119307506</v>
      </c>
      <c r="H29" s="294">
        <f>SUM(Atlantic!H26,Bergen!H26,Burlington!H26,Camden!H26,'Cape May'!H26,Cumberland!H26,Essex!H26,Gloucester!H26,Hudson!H26,Hunterdon!H26,Mercer!H26,Middlesex!H26,Monmouth!H26,Morris!H26,Ocean!H26,Passaic!H26,Salem!H26,Somerset!H26,Sussex!H26,Union!H26,Warren!H26)</f>
        <v>43398.321026855716</v>
      </c>
      <c r="I29" s="16">
        <f>SUM(Atlantic!I26,Bergen!I26,Burlington!I26,Camden!I26,'Cape May'!I26,Cumberland!I26,Essex!I26,Gloucester!I26,Hudson!I26,Hunterdon!I26,Mercer!I26,Middlesex!I26,Monmouth!I26,Morris!I26,Ocean!I26,Passaic!I26,Salem!I26,Somerset!I26,Sussex!I26,Union!I26,Warren!I26)</f>
        <v>0</v>
      </c>
      <c r="J29" s="16">
        <f>SUM(Atlantic!J26,Bergen!J26,Burlington!J26,Camden!J26,'Cape May'!J26,Cumberland!J26,Essex!J26,Gloucester!J26,Hudson!J26,Hunterdon!J26,Mercer!J26,Middlesex!J26,Monmouth!J26,Morris!J26,Ocean!J26,Passaic!J26,Salem!J26,Somerset!J26,Sussex!J26,Union!J26,Warren!J26)</f>
        <v>0</v>
      </c>
      <c r="K29" s="16">
        <f>SUM(Atlantic!K26,Bergen!K26,Burlington!K26,Camden!K26,'Cape May'!K26,Cumberland!K26,Essex!K26,Gloucester!K26,Hudson!K26,Hunterdon!K26,Mercer!K26,Middlesex!K26,Monmouth!K26,Morris!K26,Ocean!K26,Passaic!K26,Salem!K26,Somerset!K26,Sussex!K26,Union!K26,Warren!K26)</f>
        <v>0</v>
      </c>
      <c r="L29" s="16">
        <f>SUM(Atlantic!L26,Bergen!L26,Burlington!L26,Camden!L26,'Cape May'!L26,Cumberland!L26,Essex!L26,Gloucester!L26,Hudson!L26,Hunterdon!L26,Mercer!L26,Middlesex!L26,Monmouth!L26,Morris!L26,Ocean!L26,Passaic!L26,Salem!L26,Somerset!L26,Sussex!L26,Union!L26,Warren!L26)</f>
        <v>0</v>
      </c>
      <c r="M29" s="16">
        <f>SUM(Atlantic!M26,Bergen!M26,Burlington!M26,Camden!M26,'Cape May'!M26,Cumberland!M26,Essex!M26,Gloucester!M26,Hudson!M26,Hunterdon!M26,Mercer!M26,Middlesex!M26,Monmouth!M26,Morris!M26,Ocean!M26,Passaic!M26,Salem!M26,Somerset!M26,Sussex!M26,Union!M26,Warren!M26)</f>
        <v>0</v>
      </c>
      <c r="N29" s="16">
        <f>SUM(Atlantic!N26,Bergen!N26,Burlington!N26,Camden!N26,'Cape May'!N26,Cumberland!N26,Essex!N26,Gloucester!N26,Hudson!N26,Hunterdon!N26,Mercer!N26,Middlesex!N26,Monmouth!N26,Morris!N26,Ocean!N26,Passaic!N26,Salem!N26,Somerset!N26,Sussex!N26,Union!N26,Warren!N26)</f>
        <v>0</v>
      </c>
      <c r="O29" s="16">
        <f>SUM(Atlantic!O26,Bergen!O26,Burlington!O26,Camden!O26,'Cape May'!O26,Cumberland!O26,Essex!O26,Gloucester!O26,Hudson!O26,Hunterdon!O26,Mercer!O26,Middlesex!O26,Monmouth!O26,Morris!O26,Ocean!O26,Passaic!O26,Salem!O26,Somerset!O26,Sussex!O26,Union!O26,Warren!O26)</f>
        <v>0</v>
      </c>
      <c r="P29" s="16">
        <f>SUM(Atlantic!P26,Bergen!P26,Burlington!P26,Camden!P26,'Cape May'!P26,Cumberland!P26,Essex!P26,Gloucester!P26,Hudson!P26,Hunterdon!P26,Mercer!P26,Middlesex!P26,Monmouth!P26,Morris!P26,Ocean!P26,Passaic!P26,Salem!P26,Somerset!P26,Sussex!P26,Union!P26,Warren!P26)</f>
        <v>0</v>
      </c>
      <c r="Q29" s="16">
        <f>IF($B$4=$X$19,M29*'Technology Assumptions'!B$34,IF('Bioenergy Calculator'!$B$4='Bioenergy Calculator'!$X$21,M29*'Technology Assumptions'!B$34,IF('Bioenergy Calculator'!$B$4='Bioenergy Calculator'!$X$20,'Bioenergy Calculator'!M29*'Technology Assumptions'!B$36,IF('Bioenergy Calculator'!$B$4='Bioenergy Calculator'!$X$23,'Bioenergy Calculator'!M29*'Technology Assumptions'!B$35,IF('Bioenergy Calculator'!$B$4='Bioenergy Calculator'!$X$22,'Bioenergy Calculator'!M29*'Technology Assumptions'!B$37,'Bioenergy Calculator'!M29)))))</f>
        <v>0</v>
      </c>
      <c r="R29" s="16">
        <f>IF($B$4=$X$19,N29*'Technology Assumptions'!C$34,IF('Bioenergy Calculator'!$B$4='Bioenergy Calculator'!$X$21,N29*'Technology Assumptions'!C$34,IF('Bioenergy Calculator'!$B$4='Bioenergy Calculator'!$X$20,'Bioenergy Calculator'!N29*'Technology Assumptions'!C$36,IF('Bioenergy Calculator'!$B$4='Bioenergy Calculator'!$X$23,'Bioenergy Calculator'!N29*'Technology Assumptions'!C$35,IF('Bioenergy Calculator'!$B$4='Bioenergy Calculator'!$X$22,'Bioenergy Calculator'!N29*'Technology Assumptions'!C$37,'Bioenergy Calculator'!N29)))))</f>
        <v>0</v>
      </c>
      <c r="S29" s="16">
        <f>IF($B$4=$X$19,O29*'Technology Assumptions'!D$34,IF('Bioenergy Calculator'!$B$4='Bioenergy Calculator'!$X$21,O29*'Technology Assumptions'!D$34,IF('Bioenergy Calculator'!$B$4='Bioenergy Calculator'!$X$20,'Bioenergy Calculator'!O29*'Technology Assumptions'!D$36,IF('Bioenergy Calculator'!$B$4='Bioenergy Calculator'!$X$23,'Bioenergy Calculator'!O29*'Technology Assumptions'!D$35,IF('Bioenergy Calculator'!$B$4='Bioenergy Calculator'!$X$22,'Bioenergy Calculator'!O29*'Technology Assumptions'!D$37,'Bioenergy Calculator'!O29)))))</f>
        <v>0</v>
      </c>
      <c r="T29" s="16">
        <f>IF($B$4=$X$19,P29*'Technology Assumptions'!E$34,IF('Bioenergy Calculator'!$B$4='Bioenergy Calculator'!$X$21,P29*'Technology Assumptions'!E$34,IF('Bioenergy Calculator'!$B$4='Bioenergy Calculator'!$X$20,'Bioenergy Calculator'!P29*'Technology Assumptions'!E$36,IF('Bioenergy Calculator'!$B$4='Bioenergy Calculator'!$X$23,'Bioenergy Calculator'!P29*'Technology Assumptions'!E$35,IF('Bioenergy Calculator'!$B$4='Bioenergy Calculator'!$X$22,'Bioenergy Calculator'!P29*'Technology Assumptions'!E$37,'Bioenergy Calculator'!P29)))))</f>
        <v>0</v>
      </c>
    </row>
    <row r="30" spans="1:24" x14ac:dyDescent="0.25">
      <c r="A30" s="1065"/>
      <c r="B30" s="11" t="s">
        <v>561</v>
      </c>
      <c r="C30" s="294">
        <f>SUM(Atlantic!C27,Bergen!C27,Burlington!C27,Camden!C27,'Cape May'!C27,Cumberland!C27,Essex!C27,Gloucester!C27,Hudson!C27,Hunterdon!C27,Mercer!C27,Middlesex!C27,Monmouth!C27,Morris!C27,Ocean!C27,Passaic!C27,Salem!C27,Somerset!C27,Sussex!C27,Union!C27,Warren!C27)</f>
        <v>253054.92333333328</v>
      </c>
      <c r="D30" s="294">
        <f>E30*'Conversion Tables'!C26</f>
        <v>3947656.8039999991</v>
      </c>
      <c r="E30" s="294">
        <f>SUM(Atlantic!E27,Bergen!E27,Burlington!E27,Camden!E27,'Cape May'!E27,Cumberland!E27,Essex!E27,Gloucester!E27,Hudson!E27,Hunterdon!E27,Mercer!E27,Middlesex!E27,Monmouth!E27,Morris!E27,Ocean!E27,Passaic!E27,Salem!E27,Somerset!E27,Sussex!E27,Union!E27,Warren!E27)</f>
        <v>253054.92333333328</v>
      </c>
      <c r="F30" s="294">
        <f>SUM(Atlantic!F27,Bergen!F27,Burlington!F27,Camden!F27,'Cape May'!F27,Cumberland!F27,Essex!F27,Gloucester!F27,Hudson!F27,Hunterdon!F27,Mercer!F27,Middlesex!F27,Monmouth!F27,Morris!F27,Ocean!F27,Passaic!F27,Salem!F27,Somerset!F27,Sussex!F27,Union!F27,Warren!F27)</f>
        <v>256945.95941214697</v>
      </c>
      <c r="G30" s="294">
        <f>SUM(Atlantic!G27,Bergen!G27,Burlington!G27,Camden!G27,'Cape May'!G27,Cumberland!G27,Essex!G27,Gloucester!G27,Hudson!G27,Hunterdon!G27,Mercer!G27,Middlesex!G27,Monmouth!G27,Morris!G27,Ocean!G27,Passaic!G27,Salem!G27,Somerset!G27,Sussex!G27,Union!G27,Warren!G27)</f>
        <v>262324.21715461637</v>
      </c>
      <c r="H30" s="294">
        <f>SUM(Atlantic!H27,Bergen!H27,Burlington!H27,Camden!H27,'Cape May'!H27,Cumberland!H27,Essex!H27,Gloucester!H27,Hudson!H27,Hunterdon!H27,Mercer!H27,Middlesex!H27,Monmouth!H27,Morris!H27,Ocean!H27,Passaic!H27,Salem!H27,Somerset!H27,Sussex!H27,Union!H27,Warren!H27)</f>
        <v>267120.66805779672</v>
      </c>
      <c r="I30" s="16">
        <f>SUM(Atlantic!I27,Bergen!I27,Burlington!I27,Camden!I27,'Cape May'!I27,Cumberland!I27,Essex!I27,Gloucester!I27,Hudson!I27,Hunterdon!I27,Mercer!I27,Middlesex!I27,Monmouth!I27,Morris!I27,Ocean!I27,Passaic!I27,Salem!I27,Somerset!I27,Sussex!I27,Union!I27,Warren!I27)</f>
        <v>0</v>
      </c>
      <c r="J30" s="16">
        <f>SUM(Atlantic!J27,Bergen!J27,Burlington!J27,Camden!J27,'Cape May'!J27,Cumberland!J27,Essex!J27,Gloucester!J27,Hudson!J27,Hunterdon!J27,Mercer!J27,Middlesex!J27,Monmouth!J27,Morris!J27,Ocean!J27,Passaic!J27,Salem!J27,Somerset!J27,Sussex!J27,Union!J27,Warren!J27)</f>
        <v>0</v>
      </c>
      <c r="K30" s="16">
        <f>SUM(Atlantic!K27,Bergen!K27,Burlington!K27,Camden!K27,'Cape May'!K27,Cumberland!K27,Essex!K27,Gloucester!K27,Hudson!K27,Hunterdon!K27,Mercer!K27,Middlesex!K27,Monmouth!K27,Morris!K27,Ocean!K27,Passaic!K27,Salem!K27,Somerset!K27,Sussex!K27,Union!K27,Warren!K27)</f>
        <v>0</v>
      </c>
      <c r="L30" s="16">
        <f>SUM(Atlantic!L27,Bergen!L27,Burlington!L27,Camden!L27,'Cape May'!L27,Cumberland!L27,Essex!L27,Gloucester!L27,Hudson!L27,Hunterdon!L27,Mercer!L27,Middlesex!L27,Monmouth!L27,Morris!L27,Ocean!L27,Passaic!L27,Salem!L27,Somerset!L27,Sussex!L27,Union!L27,Warren!L27)</f>
        <v>0</v>
      </c>
      <c r="M30" s="16">
        <f>SUM(Atlantic!M27,Bergen!M27,Burlington!M27,Camden!M27,'Cape May'!M27,Cumberland!M27,Essex!M27,Gloucester!M27,Hudson!M27,Hunterdon!M27,Mercer!M27,Middlesex!M27,Monmouth!M27,Morris!M27,Ocean!M27,Passaic!M27,Salem!M27,Somerset!M27,Sussex!M27,Union!M27,Warren!M27)</f>
        <v>0</v>
      </c>
      <c r="N30" s="16">
        <f>SUM(Atlantic!N27,Bergen!N27,Burlington!N27,Camden!N27,'Cape May'!N27,Cumberland!N27,Essex!N27,Gloucester!N27,Hudson!N27,Hunterdon!N27,Mercer!N27,Middlesex!N27,Monmouth!N27,Morris!N27,Ocean!N27,Passaic!N27,Salem!N27,Somerset!N27,Sussex!N27,Union!N27,Warren!N27)</f>
        <v>0</v>
      </c>
      <c r="O30" s="16">
        <f>SUM(Atlantic!O27,Bergen!O27,Burlington!O27,Camden!O27,'Cape May'!O27,Cumberland!O27,Essex!O27,Gloucester!O27,Hudson!O27,Hunterdon!O27,Mercer!O27,Middlesex!O27,Monmouth!O27,Morris!O27,Ocean!O27,Passaic!O27,Salem!O27,Somerset!O27,Sussex!O27,Union!O27,Warren!O27)</f>
        <v>0</v>
      </c>
      <c r="P30" s="16">
        <f>SUM(Atlantic!P27,Bergen!P27,Burlington!P27,Camden!P27,'Cape May'!P27,Cumberland!P27,Essex!P27,Gloucester!P27,Hudson!P27,Hunterdon!P27,Mercer!P27,Middlesex!P27,Monmouth!P27,Morris!P27,Ocean!P27,Passaic!P27,Salem!P27,Somerset!P27,Sussex!P27,Union!P27,Warren!P27)</f>
        <v>0</v>
      </c>
      <c r="Q30" s="16">
        <f>IF($B$4=$X$19,M30*'Technology Assumptions'!B$34,IF('Bioenergy Calculator'!$B$4='Bioenergy Calculator'!$X$21,M30*'Technology Assumptions'!B$34,IF('Bioenergy Calculator'!$B$4='Bioenergy Calculator'!$X$20,'Bioenergy Calculator'!M30*'Technology Assumptions'!B$36,IF('Bioenergy Calculator'!$B$4='Bioenergy Calculator'!$X$23,'Bioenergy Calculator'!M30*'Technology Assumptions'!B$35,IF('Bioenergy Calculator'!$B$4='Bioenergy Calculator'!$X$22,'Bioenergy Calculator'!M30*'Technology Assumptions'!B$37,'Bioenergy Calculator'!M30)))))</f>
        <v>0</v>
      </c>
      <c r="R30" s="16">
        <f>IF($B$4=$X$19,N30*'Technology Assumptions'!C$34,IF('Bioenergy Calculator'!$B$4='Bioenergy Calculator'!$X$21,N30*'Technology Assumptions'!C$34,IF('Bioenergy Calculator'!$B$4='Bioenergy Calculator'!$X$20,'Bioenergy Calculator'!N30*'Technology Assumptions'!C$36,IF('Bioenergy Calculator'!$B$4='Bioenergy Calculator'!$X$23,'Bioenergy Calculator'!N30*'Technology Assumptions'!C$35,IF('Bioenergy Calculator'!$B$4='Bioenergy Calculator'!$X$22,'Bioenergy Calculator'!N30*'Technology Assumptions'!C$37,'Bioenergy Calculator'!N30)))))</f>
        <v>0</v>
      </c>
      <c r="S30" s="16">
        <f>IF($B$4=$X$19,O30*'Technology Assumptions'!D$34,IF('Bioenergy Calculator'!$B$4='Bioenergy Calculator'!$X$21,O30*'Technology Assumptions'!D$34,IF('Bioenergy Calculator'!$B$4='Bioenergy Calculator'!$X$20,'Bioenergy Calculator'!O30*'Technology Assumptions'!D$36,IF('Bioenergy Calculator'!$B$4='Bioenergy Calculator'!$X$23,'Bioenergy Calculator'!O30*'Technology Assumptions'!D$35,IF('Bioenergy Calculator'!$B$4='Bioenergy Calculator'!$X$22,'Bioenergy Calculator'!O30*'Technology Assumptions'!D$37,'Bioenergy Calculator'!O30)))))</f>
        <v>0</v>
      </c>
      <c r="T30" s="16">
        <f>IF($B$4=$X$19,P30*'Technology Assumptions'!E$34,IF('Bioenergy Calculator'!$B$4='Bioenergy Calculator'!$X$21,P30*'Technology Assumptions'!E$34,IF('Bioenergy Calculator'!$B$4='Bioenergy Calculator'!$X$20,'Bioenergy Calculator'!P30*'Technology Assumptions'!E$36,IF('Bioenergy Calculator'!$B$4='Bioenergy Calculator'!$X$23,'Bioenergy Calculator'!P30*'Technology Assumptions'!E$35,IF('Bioenergy Calculator'!$B$4='Bioenergy Calculator'!$X$22,'Bioenergy Calculator'!P30*'Technology Assumptions'!E$37,'Bioenergy Calculator'!P30)))))</f>
        <v>0</v>
      </c>
      <c r="U30" s="51"/>
    </row>
    <row r="31" spans="1:24" x14ac:dyDescent="0.25">
      <c r="A31" s="1065"/>
      <c r="B31" s="11" t="s">
        <v>562</v>
      </c>
      <c r="C31" s="294">
        <f>SUM(Atlantic!C28,Bergen!C28,Burlington!C28,Camden!C28,'Cape May'!C28,Cumberland!C28,Essex!C28,Gloucester!C28,Hudson!C28,Hunterdon!C28,Mercer!C28,Middlesex!C28,Monmouth!C28,Morris!C28,Ocean!C28,Passaic!C28,Salem!C28,Somerset!C28,Sussex!C28,Union!C28,Warren!C28)</f>
        <v>25855.429999999997</v>
      </c>
      <c r="D31" s="294">
        <f>E31*'Conversion Tables'!C27</f>
        <v>457641.11099999992</v>
      </c>
      <c r="E31" s="294">
        <f>SUM(Atlantic!E28,Bergen!E28,Burlington!E28,Camden!E28,'Cape May'!E28,Cumberland!E28,Essex!E28,Gloucester!E28,Hudson!E28,Hunterdon!E28,Mercer!E28,Middlesex!E28,Monmouth!E28,Morris!E28,Ocean!E28,Passaic!E28,Salem!E28,Somerset!E28,Sussex!E28,Union!E28,Warren!E28)</f>
        <v>25855.429999999997</v>
      </c>
      <c r="F31" s="294">
        <f>SUM(Atlantic!F28,Bergen!F28,Burlington!F28,Camden!F28,'Cape May'!F28,Cumberland!F28,Essex!F28,Gloucester!F28,Hudson!F28,Hunterdon!F28,Mercer!F28,Middlesex!F28,Monmouth!F28,Morris!F28,Ocean!F28,Passaic!F28,Salem!F28,Somerset!F28,Sussex!F28,Union!F28,Warren!F28)</f>
        <v>26485.059641911554</v>
      </c>
      <c r="G31" s="294">
        <f>SUM(Atlantic!G28,Bergen!G28,Burlington!G28,Camden!G28,'Cape May'!G28,Cumberland!G28,Essex!G28,Gloucester!G28,Hudson!G28,Hunterdon!G28,Mercer!G28,Middlesex!G28,Monmouth!G28,Morris!G28,Ocean!G28,Passaic!G28,Salem!G28,Somerset!G28,Sussex!G28,Union!G28,Warren!G28)</f>
        <v>27427.270894071462</v>
      </c>
      <c r="H31" s="294">
        <f>SUM(Atlantic!H28,Bergen!H28,Burlington!H28,Camden!H28,'Cape May'!H28,Cumberland!H28,Essex!H28,Gloucester!H28,Hudson!H28,Hunterdon!H28,Mercer!H28,Middlesex!H28,Monmouth!H28,Morris!H28,Ocean!H28,Passaic!H28,Salem!H28,Somerset!H28,Sussex!H28,Union!H28,Warren!H28)</f>
        <v>28209.371740836868</v>
      </c>
      <c r="I31" s="16">
        <f>SUM(Atlantic!I28,Bergen!I28,Burlington!I28,Camden!I28,'Cape May'!I28,Cumberland!I28,Essex!I28,Gloucester!I28,Hudson!I28,Hunterdon!I28,Mercer!I28,Middlesex!I28,Monmouth!I28,Morris!I28,Ocean!I28,Passaic!I28,Salem!I28,Somerset!I28,Sussex!I28,Union!I28,Warren!I28)</f>
        <v>0</v>
      </c>
      <c r="J31" s="16">
        <f>SUM(Atlantic!J28,Bergen!J28,Burlington!J28,Camden!J28,'Cape May'!J28,Cumberland!J28,Essex!J28,Gloucester!J28,Hudson!J28,Hunterdon!J28,Mercer!J28,Middlesex!J28,Monmouth!J28,Morris!J28,Ocean!J28,Passaic!J28,Salem!J28,Somerset!J28,Sussex!J28,Union!J28,Warren!J28)</f>
        <v>0</v>
      </c>
      <c r="K31" s="16">
        <f>SUM(Atlantic!K28,Bergen!K28,Burlington!K28,Camden!K28,'Cape May'!K28,Cumberland!K28,Essex!K28,Gloucester!K28,Hudson!K28,Hunterdon!K28,Mercer!K28,Middlesex!K28,Monmouth!K28,Morris!K28,Ocean!K28,Passaic!K28,Salem!K28,Somerset!K28,Sussex!K28,Union!K28,Warren!K28)</f>
        <v>0</v>
      </c>
      <c r="L31" s="16">
        <f>SUM(Atlantic!L28,Bergen!L28,Burlington!L28,Camden!L28,'Cape May'!L28,Cumberland!L28,Essex!L28,Gloucester!L28,Hudson!L28,Hunterdon!L28,Mercer!L28,Middlesex!L28,Monmouth!L28,Morris!L28,Ocean!L28,Passaic!L28,Salem!L28,Somerset!L28,Sussex!L28,Union!L28,Warren!L28)</f>
        <v>0</v>
      </c>
      <c r="M31" s="16">
        <f>SUM(Atlantic!M28,Bergen!M28,Burlington!M28,Camden!M28,'Cape May'!M28,Cumberland!M28,Essex!M28,Gloucester!M28,Hudson!M28,Hunterdon!M28,Mercer!M28,Middlesex!M28,Monmouth!M28,Morris!M28,Ocean!M28,Passaic!M28,Salem!M28,Somerset!M28,Sussex!M28,Union!M28,Warren!M28)</f>
        <v>0</v>
      </c>
      <c r="N31" s="16">
        <f>SUM(Atlantic!N28,Bergen!N28,Burlington!N28,Camden!N28,'Cape May'!N28,Cumberland!N28,Essex!N28,Gloucester!N28,Hudson!N28,Hunterdon!N28,Mercer!N28,Middlesex!N28,Monmouth!N28,Morris!N28,Ocean!N28,Passaic!N28,Salem!N28,Somerset!N28,Sussex!N28,Union!N28,Warren!N28)</f>
        <v>0</v>
      </c>
      <c r="O31" s="16">
        <f>SUM(Atlantic!O28,Bergen!O28,Burlington!O28,Camden!O28,'Cape May'!O28,Cumberland!O28,Essex!O28,Gloucester!O28,Hudson!O28,Hunterdon!O28,Mercer!O28,Middlesex!O28,Monmouth!O28,Morris!O28,Ocean!O28,Passaic!O28,Salem!O28,Somerset!O28,Sussex!O28,Union!O28,Warren!O28)</f>
        <v>0</v>
      </c>
      <c r="P31" s="16">
        <f>SUM(Atlantic!P28,Bergen!P28,Burlington!P28,Camden!P28,'Cape May'!P28,Cumberland!P28,Essex!P28,Gloucester!P28,Hudson!P28,Hunterdon!P28,Mercer!P28,Middlesex!P28,Monmouth!P28,Morris!P28,Ocean!P28,Passaic!P28,Salem!P28,Somerset!P28,Sussex!P28,Union!P28,Warren!P28)</f>
        <v>0</v>
      </c>
      <c r="Q31" s="16">
        <f>IF($B$4=$X$19,M31*'Technology Assumptions'!B$34,IF('Bioenergy Calculator'!$B$4='Bioenergy Calculator'!$X$21,M31*'Technology Assumptions'!B$34,IF('Bioenergy Calculator'!$B$4='Bioenergy Calculator'!$X$20,'Bioenergy Calculator'!M31*'Technology Assumptions'!B$36,IF('Bioenergy Calculator'!$B$4='Bioenergy Calculator'!$X$23,'Bioenergy Calculator'!M31*'Technology Assumptions'!B$35,IF('Bioenergy Calculator'!$B$4='Bioenergy Calculator'!$X$22,'Bioenergy Calculator'!M31*'Technology Assumptions'!B$37,'Bioenergy Calculator'!M31)))))</f>
        <v>0</v>
      </c>
      <c r="R31" s="16">
        <f>IF($B$4=$X$19,N31*'Technology Assumptions'!C$34,IF('Bioenergy Calculator'!$B$4='Bioenergy Calculator'!$X$21,N31*'Technology Assumptions'!C$34,IF('Bioenergy Calculator'!$B$4='Bioenergy Calculator'!$X$20,'Bioenergy Calculator'!N31*'Technology Assumptions'!C$36,IF('Bioenergy Calculator'!$B$4='Bioenergy Calculator'!$X$23,'Bioenergy Calculator'!N31*'Technology Assumptions'!C$35,IF('Bioenergy Calculator'!$B$4='Bioenergy Calculator'!$X$22,'Bioenergy Calculator'!N31*'Technology Assumptions'!C$37,'Bioenergy Calculator'!N31)))))</f>
        <v>0</v>
      </c>
      <c r="S31" s="16">
        <f>IF($B$4=$X$19,O31*'Technology Assumptions'!D$34,IF('Bioenergy Calculator'!$B$4='Bioenergy Calculator'!$X$21,O31*'Technology Assumptions'!D$34,IF('Bioenergy Calculator'!$B$4='Bioenergy Calculator'!$X$20,'Bioenergy Calculator'!O31*'Technology Assumptions'!D$36,IF('Bioenergy Calculator'!$B$4='Bioenergy Calculator'!$X$23,'Bioenergy Calculator'!O31*'Technology Assumptions'!D$35,IF('Bioenergy Calculator'!$B$4='Bioenergy Calculator'!$X$22,'Bioenergy Calculator'!O31*'Technology Assumptions'!D$37,'Bioenergy Calculator'!O31)))))</f>
        <v>0</v>
      </c>
      <c r="T31" s="16">
        <f>IF($B$4=$X$19,P31*'Technology Assumptions'!E$34,IF('Bioenergy Calculator'!$B$4='Bioenergy Calculator'!$X$21,P31*'Technology Assumptions'!E$34,IF('Bioenergy Calculator'!$B$4='Bioenergy Calculator'!$X$20,'Bioenergy Calculator'!P31*'Technology Assumptions'!E$36,IF('Bioenergy Calculator'!$B$4='Bioenergy Calculator'!$X$23,'Bioenergy Calculator'!P31*'Technology Assumptions'!E$35,IF('Bioenergy Calculator'!$B$4='Bioenergy Calculator'!$X$22,'Bioenergy Calculator'!P31*'Technology Assumptions'!E$37,'Bioenergy Calculator'!P31)))))</f>
        <v>0</v>
      </c>
      <c r="U31" s="3"/>
    </row>
    <row r="32" spans="1:24" x14ac:dyDescent="0.25">
      <c r="A32" s="1065"/>
      <c r="B32" s="9" t="s">
        <v>524</v>
      </c>
      <c r="C32" s="295">
        <f t="shared" ref="C32:P32" si="1">SUM(C16:C31)</f>
        <v>2124460.7908333335</v>
      </c>
      <c r="D32" s="295">
        <f>SUM(D16:D31)</f>
        <v>22710078.714965001</v>
      </c>
      <c r="E32" s="295">
        <f t="shared" si="1"/>
        <v>1408761.2870833334</v>
      </c>
      <c r="F32" s="295">
        <f>SUM(F16:F31)</f>
        <v>1419035.5806745414</v>
      </c>
      <c r="G32" s="295">
        <f>SUM(G16:G31)</f>
        <v>1433264.7585317194</v>
      </c>
      <c r="H32" s="295">
        <f>SUM(H16:H31)</f>
        <v>1445748.814017863</v>
      </c>
      <c r="I32" s="19">
        <f t="shared" si="1"/>
        <v>0</v>
      </c>
      <c r="J32" s="19">
        <f t="shared" si="1"/>
        <v>0</v>
      </c>
      <c r="K32" s="19">
        <f t="shared" si="1"/>
        <v>0</v>
      </c>
      <c r="L32" s="19">
        <f t="shared" si="1"/>
        <v>0</v>
      </c>
      <c r="M32" s="19">
        <f t="shared" si="1"/>
        <v>0</v>
      </c>
      <c r="N32" s="19">
        <f t="shared" si="1"/>
        <v>0</v>
      </c>
      <c r="O32" s="19">
        <f t="shared" si="1"/>
        <v>0</v>
      </c>
      <c r="P32" s="19">
        <f t="shared" si="1"/>
        <v>0</v>
      </c>
      <c r="Q32" s="19">
        <f>SUM(Q16:Q31)</f>
        <v>0</v>
      </c>
      <c r="R32" s="19">
        <f>SUM(R16:R31)</f>
        <v>0</v>
      </c>
      <c r="S32" s="19">
        <f>SUM(S16:S31)</f>
        <v>0</v>
      </c>
      <c r="T32" s="19">
        <f>SUM(T16:T31)</f>
        <v>0</v>
      </c>
      <c r="U32" s="594"/>
    </row>
    <row r="33" spans="1:21" x14ac:dyDescent="0.25">
      <c r="A33" s="8"/>
      <c r="B33" s="5"/>
      <c r="C33" s="296"/>
      <c r="D33" s="296"/>
      <c r="E33" s="296"/>
      <c r="F33" s="296"/>
      <c r="G33" s="296"/>
      <c r="H33" s="296"/>
      <c r="I33" s="28"/>
      <c r="J33" s="28"/>
      <c r="K33" s="28"/>
      <c r="L33" s="28"/>
      <c r="M33" s="28"/>
      <c r="N33" s="28"/>
      <c r="O33" s="28"/>
      <c r="P33" s="28"/>
      <c r="Q33" s="28"/>
      <c r="R33" s="28"/>
      <c r="S33" s="28"/>
      <c r="T33" s="28"/>
      <c r="U33" s="3"/>
    </row>
    <row r="34" spans="1:21" x14ac:dyDescent="0.25">
      <c r="A34" s="1064" t="s">
        <v>516</v>
      </c>
      <c r="B34" s="130" t="str">
        <f>IF('Bioenergy Calculator'!H75="No","Solid wastes - Landfilled","Solid wastes: Landfilled and Incinerated")</f>
        <v>Solid wastes - Landfilled</v>
      </c>
      <c r="C34" s="294"/>
      <c r="D34" s="294"/>
      <c r="E34" s="294"/>
      <c r="F34" s="294"/>
      <c r="G34" s="294"/>
      <c r="H34" s="294"/>
      <c r="I34" s="16"/>
      <c r="J34" s="16"/>
      <c r="K34" s="16"/>
      <c r="L34" s="16"/>
      <c r="M34" s="354"/>
      <c r="N34" s="16"/>
      <c r="O34" s="16"/>
      <c r="P34" s="16"/>
      <c r="Q34" s="16"/>
      <c r="R34" s="16"/>
      <c r="S34" s="16"/>
      <c r="T34" s="16"/>
      <c r="U34" s="51"/>
    </row>
    <row r="35" spans="1:21" x14ac:dyDescent="0.25">
      <c r="A35" s="1064"/>
      <c r="B35" s="11" t="str">
        <f>IF('Bioenergy Calculator'!H75="No","Food waste, Landfilled","Food waste: Landfilled and Incinerated")</f>
        <v>Food waste, Landfilled</v>
      </c>
      <c r="C35" s="294">
        <f>SUM(Atlantic!C32,Bergen!C32,Burlington!C32,Camden!C32,'Cape May'!C32,Cumberland!C32,Essex!C32,Gloucester!C32,Hudson!C32,Hunterdon!C32,Mercer!C32,Middlesex!C32,Monmouth!C32,Morris!C32,Ocean!C32,Passaic!C32,Salem!C32,Somerset!C32,Sussex!C32,Union!C32,Warren!C32)</f>
        <v>214286.55948329999</v>
      </c>
      <c r="D35" s="294">
        <f>E35*'Conversion Tables'!C29</f>
        <v>2057150.9710396801</v>
      </c>
      <c r="E35" s="294">
        <f>SUM(Atlantic!E32,Bergen!E32,Burlington!E32,Camden!E32,'Cape May'!E32,Cumberland!E32,Essex!E32,Gloucester!E32,Hudson!E32,Hunterdon!E32,Mercer!E32,Middlesex!E32,Monmouth!E32,Morris!E32,Ocean!E32,Passaic!E32,Salem!E32,Somerset!E32,Sussex!E32,Union!E32,Warren!E32)</f>
        <v>128571.93568998</v>
      </c>
      <c r="F35" s="294">
        <f>SUM(Atlantic!F32,Bergen!F32,Burlington!F32,Camden!F32,'Cape May'!F32,Cumberland!F32,Essex!F32,Gloucester!F32,Hudson!F32,Hunterdon!F32,Mercer!F32,Middlesex!F32,Monmouth!F32,Morris!F32,Ocean!F32,Passaic!F32,Salem!F32,Somerset!F32,Sussex!F32,Union!F32,Warren!F32)</f>
        <v>130810.3738704766</v>
      </c>
      <c r="G35" s="294">
        <f>SUM(Atlantic!G32,Bergen!G32,Burlington!G32,Camden!G32,'Cape May'!G32,Cumberland!G32,Essex!G32,Gloucester!G32,Hudson!G32,Hunterdon!G32,Mercer!G32,Middlesex!G32,Monmouth!G32,Morris!G32,Ocean!G32,Passaic!G32,Salem!G32,Somerset!G32,Sussex!G32,Union!G32,Warren!G32)</f>
        <v>133924.9078026528</v>
      </c>
      <c r="H35" s="294">
        <f>SUM(Atlantic!H32,Bergen!H32,Burlington!H32,Camden!H32,'Cape May'!H32,Cumberland!H32,Essex!H32,Gloucester!H32,Hudson!H32,Hunterdon!H32,Mercer!H32,Middlesex!H32,Monmouth!H32,Morris!H32,Ocean!H32,Passaic!H32,Salem!H32,Somerset!H32,Sussex!H32,Union!H32,Warren!H32)</f>
        <v>136549.30232451923</v>
      </c>
      <c r="I35" s="16">
        <f>SUM(Atlantic!I32,Bergen!I32,Burlington!I32,Camden!I32,'Cape May'!I32,Cumberland!I32,Essex!I32,Gloucester!I32,Hudson!I32,Hunterdon!I32,Mercer!I32,Middlesex!I32,Monmouth!I32,Morris!I32,Ocean!I32,Passaic!I32,Salem!I32,Somerset!I32,Sussex!I32,Union!I32,Warren!I32)</f>
        <v>0</v>
      </c>
      <c r="J35" s="16">
        <f>SUM(Atlantic!J32,Bergen!J32,Burlington!J32,Camden!J32,'Cape May'!J32,Cumberland!J32,Essex!J32,Gloucester!J32,Hudson!J32,Hunterdon!J32,Mercer!J32,Middlesex!J32,Monmouth!J32,Morris!J32,Ocean!J32,Passaic!J32,Salem!J32,Somerset!J32,Sussex!J32,Union!J32,Warren!J32)</f>
        <v>0</v>
      </c>
      <c r="K35" s="16">
        <f>SUM(Atlantic!K32,Bergen!K32,Burlington!K32,Camden!K32,'Cape May'!K32,Cumberland!K32,Essex!K32,Gloucester!K32,Hudson!K32,Hunterdon!K32,Mercer!K32,Middlesex!K32,Monmouth!K32,Morris!K32,Ocean!K32,Passaic!K32,Salem!K32,Somerset!K32,Sussex!K32,Union!K32,Warren!K32)</f>
        <v>0</v>
      </c>
      <c r="L35" s="16">
        <f>SUM(Atlantic!L32,Bergen!L32,Burlington!L32,Camden!L32,'Cape May'!L32,Cumberland!L32,Essex!L32,Gloucester!L32,Hudson!L32,Hunterdon!L32,Mercer!L32,Middlesex!L32,Monmouth!L32,Morris!L32,Ocean!L32,Passaic!L32,Salem!L32,Somerset!L32,Sussex!L32,Union!L32,Warren!L32)</f>
        <v>0</v>
      </c>
      <c r="M35" s="354">
        <f>SUM(Atlantic!M32,Bergen!M32,Burlington!M32,Camden!M32,'Cape May'!M32,Cumberland!M32,Essex!M32,Gloucester!M32,Hudson!M32,Hunterdon!M32,Mercer!M32,Middlesex!M32,Monmouth!M32,Morris!M32,Ocean!M32,Passaic!M32,Salem!M32,Somerset!M32,Sussex!M32,Union!M32,Warren!M32)</f>
        <v>0</v>
      </c>
      <c r="N35" s="16">
        <f>SUM(Atlantic!N32,Bergen!N32,Burlington!N32,Camden!N32,'Cape May'!N32,Cumberland!N32,Essex!N32,Gloucester!N32,Hudson!N32,Hunterdon!N32,Mercer!N32,Middlesex!N32,Monmouth!N32,Morris!N32,Ocean!N32,Passaic!N32,Salem!N32,Somerset!N32,Sussex!N32,Union!N32,Warren!N32)</f>
        <v>0</v>
      </c>
      <c r="O35" s="16">
        <f>SUM(Atlantic!O32,Bergen!O32,Burlington!O32,Camden!O32,'Cape May'!O32,Cumberland!O32,Essex!O32,Gloucester!O32,Hudson!O32,Hunterdon!O32,Mercer!O32,Middlesex!O32,Monmouth!O32,Morris!O32,Ocean!O32,Passaic!O32,Salem!O32,Somerset!O32,Sussex!O32,Union!O32,Warren!O32)</f>
        <v>0</v>
      </c>
      <c r="P35" s="16">
        <f>SUM(Atlantic!P32,Bergen!P32,Burlington!P32,Camden!P32,'Cape May'!P32,Cumberland!P32,Essex!P32,Gloucester!P32,Hudson!P32,Hunterdon!P32,Mercer!P32,Middlesex!P32,Monmouth!P32,Morris!P32,Ocean!P32,Passaic!P32,Salem!P32,Somerset!P32,Sussex!P32,Union!P32,Warren!P32)</f>
        <v>0</v>
      </c>
      <c r="Q35" s="16">
        <f>IF($B$4=$X$19,M35*'Technology Assumptions'!B$34,IF('Bioenergy Calculator'!$B$4='Bioenergy Calculator'!$X$21,M35*'Technology Assumptions'!B$34,IF('Bioenergy Calculator'!$B$4='Bioenergy Calculator'!$X$20,'Bioenergy Calculator'!M35*'Technology Assumptions'!B$36,IF('Bioenergy Calculator'!$B$4='Bioenergy Calculator'!$X$23,'Bioenergy Calculator'!M35*'Technology Assumptions'!B$35,IF('Bioenergy Calculator'!$B$4='Bioenergy Calculator'!$X$22,'Bioenergy Calculator'!M35*'Technology Assumptions'!B$37,'Bioenergy Calculator'!M35)))))</f>
        <v>0</v>
      </c>
      <c r="R35" s="16">
        <f>IF($B$4=$X$19,N35*'Technology Assumptions'!C$34,IF('Bioenergy Calculator'!$B$4='Bioenergy Calculator'!$X$21,N35*'Technology Assumptions'!C$34,IF('Bioenergy Calculator'!$B$4='Bioenergy Calculator'!$X$20,'Bioenergy Calculator'!N35*'Technology Assumptions'!C$36,IF('Bioenergy Calculator'!$B$4='Bioenergy Calculator'!$X$23,'Bioenergy Calculator'!N35*'Technology Assumptions'!C$35,IF('Bioenergy Calculator'!$B$4='Bioenergy Calculator'!$X$22,'Bioenergy Calculator'!N35*'Technology Assumptions'!C$37,'Bioenergy Calculator'!N35)))))</f>
        <v>0</v>
      </c>
      <c r="S35" s="16">
        <f>IF($B$4=$X$19,O35*'Technology Assumptions'!D$34,IF('Bioenergy Calculator'!$B$4='Bioenergy Calculator'!$X$21,O35*'Technology Assumptions'!D$34,IF('Bioenergy Calculator'!$B$4='Bioenergy Calculator'!$X$20,'Bioenergy Calculator'!O35*'Technology Assumptions'!D$36,IF('Bioenergy Calculator'!$B$4='Bioenergy Calculator'!$X$23,'Bioenergy Calculator'!O35*'Technology Assumptions'!D$35,IF('Bioenergy Calculator'!$B$4='Bioenergy Calculator'!$X$22,'Bioenergy Calculator'!O35*'Technology Assumptions'!D$37,'Bioenergy Calculator'!O35)))))</f>
        <v>0</v>
      </c>
      <c r="T35" s="16">
        <f>IF($B$4=$X$19,P35*'Technology Assumptions'!E$34,IF('Bioenergy Calculator'!$B$4='Bioenergy Calculator'!$X$21,P35*'Technology Assumptions'!E$34,IF('Bioenergy Calculator'!$B$4='Bioenergy Calculator'!$X$20,'Bioenergy Calculator'!P35*'Technology Assumptions'!E$36,IF('Bioenergy Calculator'!$B$4='Bioenergy Calculator'!$X$23,'Bioenergy Calculator'!P35*'Technology Assumptions'!E$35,IF('Bioenergy Calculator'!$B$4='Bioenergy Calculator'!$X$22,'Bioenergy Calculator'!P35*'Technology Assumptions'!E$37,'Bioenergy Calculator'!P35)))))</f>
        <v>0</v>
      </c>
    </row>
    <row r="36" spans="1:21" x14ac:dyDescent="0.25">
      <c r="A36" s="1064"/>
      <c r="B36" s="11" t="str">
        <f>IF('Bioenergy Calculator'!H75="No","Waste paper, Landfilled","Waste paper: Landfilled and Incinerated")</f>
        <v>Waste paper, Landfilled</v>
      </c>
      <c r="C36" s="294">
        <f>SUM(Atlantic!C33,Bergen!C33,Burlington!C33,Camden!C33,'Cape May'!C33,Cumberland!C33,Essex!C33,Gloucester!C33,Hudson!C33,Hunterdon!C33,Mercer!C33,Middlesex!C33,Monmouth!C33,Morris!C33,Ocean!C33,Passaic!C33,Salem!C33,Somerset!C33,Sussex!C33,Union!C33,Warren!C33)</f>
        <v>779660.5427775</v>
      </c>
      <c r="D36" s="294">
        <f>E36*'Conversion Tables'!C30</f>
        <v>9057784.3217718843</v>
      </c>
      <c r="E36" s="294">
        <f>SUM(Atlantic!E33,Bergen!E33,Burlington!E33,Camden!E33,'Cape May'!E33,Cumberland!E33,Essex!E33,Gloucester!E33,Hudson!E33,Hunterdon!E33,Mercer!E33,Middlesex!E33,Monmouth!E33,Morris!E33,Ocean!E33,Passaic!E33,Salem!E33,Somerset!E33,Sussex!E33,Union!E33,Warren!E33)</f>
        <v>623728.43422199995</v>
      </c>
      <c r="F36" s="294">
        <f>SUM(Atlantic!F33,Bergen!F33,Burlington!F33,Camden!F33,'Cape May'!F33,Cumberland!F33,Essex!F33,Gloucester!F33,Hudson!F33,Hunterdon!F33,Mercer!F33,Middlesex!F33,Monmouth!F33,Morris!F33,Ocean!F33,Passaic!F33,Salem!F33,Somerset!F33,Sussex!F33,Union!F33,Warren!F33)</f>
        <v>634504.23787394841</v>
      </c>
      <c r="G36" s="294">
        <f>SUM(Atlantic!G33,Bergen!G33,Burlington!G33,Camden!G33,'Cape May'!G33,Cumberland!G33,Essex!G33,Gloucester!G33,Hudson!G33,Hunterdon!G33,Mercer!G33,Middlesex!G33,Monmouth!G33,Morris!G33,Ocean!G33,Passaic!G33,Salem!G33,Somerset!G33,Sussex!G33,Union!G33,Warren!G33)</f>
        <v>649527.40225660615</v>
      </c>
      <c r="H36" s="294">
        <f>SUM(Atlantic!H33,Bergen!H33,Burlington!H33,Camden!H33,'Cape May'!H33,Cumberland!H33,Essex!H33,Gloucester!H33,Hudson!H33,Hunterdon!H33,Mercer!H33,Middlesex!H33,Monmouth!H33,Morris!H33,Ocean!H33,Passaic!H33,Salem!H33,Somerset!H33,Sussex!H33,Union!H33,Warren!H33)</f>
        <v>662232.65405727492</v>
      </c>
      <c r="I36" s="16">
        <f>SUM(Atlantic!I33,Bergen!I33,Burlington!I33,Camden!I33,'Cape May'!I33,Cumberland!I33,Essex!I33,Gloucester!I33,Hudson!I33,Hunterdon!I33,Mercer!I33,Middlesex!I33,Monmouth!I33,Morris!I33,Ocean!I33,Passaic!I33,Salem!I33,Somerset!I33,Sussex!I33,Union!I33,Warren!I33)</f>
        <v>0</v>
      </c>
      <c r="J36" s="16">
        <f>SUM(Atlantic!J33,Bergen!J33,Burlington!J33,Camden!J33,'Cape May'!J33,Cumberland!J33,Essex!J33,Gloucester!J33,Hudson!J33,Hunterdon!J33,Mercer!J33,Middlesex!J33,Monmouth!J33,Morris!J33,Ocean!J33,Passaic!J33,Salem!J33,Somerset!J33,Sussex!J33,Union!J33,Warren!J33)</f>
        <v>0</v>
      </c>
      <c r="K36" s="16">
        <f>SUM(Atlantic!K33,Bergen!K33,Burlington!K33,Camden!K33,'Cape May'!K33,Cumberland!K33,Essex!K33,Gloucester!K33,Hudson!K33,Hunterdon!K33,Mercer!K33,Middlesex!K33,Monmouth!K33,Morris!K33,Ocean!K33,Passaic!K33,Salem!K33,Somerset!K33,Sussex!K33,Union!K33,Warren!K33)</f>
        <v>0</v>
      </c>
      <c r="L36" s="16">
        <f>SUM(Atlantic!L33,Bergen!L33,Burlington!L33,Camden!L33,'Cape May'!L33,Cumberland!L33,Essex!L33,Gloucester!L33,Hudson!L33,Hunterdon!L33,Mercer!L33,Middlesex!L33,Monmouth!L33,Morris!L33,Ocean!L33,Passaic!L33,Salem!L33,Somerset!L33,Sussex!L33,Union!L33,Warren!L33)</f>
        <v>0</v>
      </c>
      <c r="M36" s="354">
        <f>SUM(Atlantic!M33,Bergen!M33,Burlington!M33,Camden!M33,'Cape May'!M33,Cumberland!M33,Essex!M33,Gloucester!M33,Hudson!M33,Hunterdon!M33,Mercer!M33,Middlesex!M33,Monmouth!M33,Morris!M33,Ocean!M33,Passaic!M33,Salem!M33,Somerset!M33,Sussex!M33,Union!M33,Warren!M33)</f>
        <v>0</v>
      </c>
      <c r="N36" s="16">
        <f>SUM(Atlantic!N33,Bergen!N33,Burlington!N33,Camden!N33,'Cape May'!N33,Cumberland!N33,Essex!N33,Gloucester!N33,Hudson!N33,Hunterdon!N33,Mercer!N33,Middlesex!N33,Monmouth!N33,Morris!N33,Ocean!N33,Passaic!N33,Salem!N33,Somerset!N33,Sussex!N33,Union!N33,Warren!N33)</f>
        <v>0</v>
      </c>
      <c r="O36" s="16">
        <f>SUM(Atlantic!O33,Bergen!O33,Burlington!O33,Camden!O33,'Cape May'!O33,Cumberland!O33,Essex!O33,Gloucester!O33,Hudson!O33,Hunterdon!O33,Mercer!O33,Middlesex!O33,Monmouth!O33,Morris!O33,Ocean!O33,Passaic!O33,Salem!O33,Somerset!O33,Sussex!O33,Union!O33,Warren!O33)</f>
        <v>0</v>
      </c>
      <c r="P36" s="16">
        <f>SUM(Atlantic!P33,Bergen!P33,Burlington!P33,Camden!P33,'Cape May'!P33,Cumberland!P33,Essex!P33,Gloucester!P33,Hudson!P33,Hunterdon!P33,Mercer!P33,Middlesex!P33,Monmouth!P33,Morris!P33,Ocean!P33,Passaic!P33,Salem!P33,Somerset!P33,Sussex!P33,Union!P33,Warren!P33)</f>
        <v>0</v>
      </c>
      <c r="Q36" s="16">
        <f>IF($B$4=$X$19,M36*'Technology Assumptions'!B$34,IF('Bioenergy Calculator'!$B$4='Bioenergy Calculator'!$X$21,M36*'Technology Assumptions'!B$34,IF('Bioenergy Calculator'!$B$4='Bioenergy Calculator'!$X$20,'Bioenergy Calculator'!M36*'Technology Assumptions'!B$36,IF('Bioenergy Calculator'!$B$4='Bioenergy Calculator'!$X$23,'Bioenergy Calculator'!M36*'Technology Assumptions'!B$35,IF('Bioenergy Calculator'!$B$4='Bioenergy Calculator'!$X$22,'Bioenergy Calculator'!M36*'Technology Assumptions'!B$37,'Bioenergy Calculator'!M36)))))</f>
        <v>0</v>
      </c>
      <c r="R36" s="16">
        <f>IF($B$4=$X$19,N36*'Technology Assumptions'!C$34,IF('Bioenergy Calculator'!$B$4='Bioenergy Calculator'!$X$21,N36*'Technology Assumptions'!C$34,IF('Bioenergy Calculator'!$B$4='Bioenergy Calculator'!$X$20,'Bioenergy Calculator'!N36*'Technology Assumptions'!C$36,IF('Bioenergy Calculator'!$B$4='Bioenergy Calculator'!$X$23,'Bioenergy Calculator'!N36*'Technology Assumptions'!C$35,IF('Bioenergy Calculator'!$B$4='Bioenergy Calculator'!$X$22,'Bioenergy Calculator'!N36*'Technology Assumptions'!C$37,'Bioenergy Calculator'!N36)))))</f>
        <v>0</v>
      </c>
      <c r="S36" s="16">
        <f>IF($B$4=$X$19,O36*'Technology Assumptions'!D$34,IF('Bioenergy Calculator'!$B$4='Bioenergy Calculator'!$X$21,O36*'Technology Assumptions'!D$34,IF('Bioenergy Calculator'!$B$4='Bioenergy Calculator'!$X$20,'Bioenergy Calculator'!O36*'Technology Assumptions'!D$36,IF('Bioenergy Calculator'!$B$4='Bioenergy Calculator'!$X$23,'Bioenergy Calculator'!O36*'Technology Assumptions'!D$35,IF('Bioenergy Calculator'!$B$4='Bioenergy Calculator'!$X$22,'Bioenergy Calculator'!O36*'Technology Assumptions'!D$37,'Bioenergy Calculator'!O36)))))</f>
        <v>0</v>
      </c>
      <c r="T36" s="16">
        <f>IF($B$4=$X$19,P36*'Technology Assumptions'!E$34,IF('Bioenergy Calculator'!$B$4='Bioenergy Calculator'!$X$21,P36*'Technology Assumptions'!E$34,IF('Bioenergy Calculator'!$B$4='Bioenergy Calculator'!$X$20,'Bioenergy Calculator'!P36*'Technology Assumptions'!E$36,IF('Bioenergy Calculator'!$B$4='Bioenergy Calculator'!$X$23,'Bioenergy Calculator'!P36*'Technology Assumptions'!E$35,IF('Bioenergy Calculator'!$B$4='Bioenergy Calculator'!$X$22,'Bioenergy Calculator'!P36*'Technology Assumptions'!E$37,'Bioenergy Calculator'!P36)))))</f>
        <v>0</v>
      </c>
    </row>
    <row r="37" spans="1:21" x14ac:dyDescent="0.25">
      <c r="A37" s="1064"/>
      <c r="B37" s="11" t="str">
        <f>IF('Bioenergy Calculator'!H75="No","Other Biomass, Landfilled","Other Biomass: Landfilled and Incinerated")</f>
        <v>Other Biomass, Landfilled</v>
      </c>
      <c r="C37" s="294">
        <f>SUM(Atlantic!C34,Bergen!C34,Burlington!C34,Camden!C34,'Cape May'!C34,Cumberland!C34,Essex!C34,Gloucester!C34,Hudson!C34,Hunterdon!C34,Mercer!C34,Middlesex!C34,Monmouth!C34,Morris!C34,Ocean!C34,Passaic!C34,Salem!C34,Somerset!C34,Sussex!C34,Union!C34,Warren!C34)</f>
        <v>599721.74855750019</v>
      </c>
      <c r="D37" s="294">
        <f>E37*'Conversion Tables'!C31</f>
        <v>6270594.6474374505</v>
      </c>
      <c r="E37" s="294">
        <f>SUM(Atlantic!E34,Bergen!E34,Burlington!E34,Camden!E34,'Cape May'!E34,Cumberland!E34,Essex!E34,Gloucester!E34,Hudson!E34,Hunterdon!E34,Mercer!E34,Middlesex!E34,Monmouth!E34,Morris!E34,Ocean!E34,Passaic!E34,Salem!E34,Somerset!E34,Sussex!E34,Union!E34,Warren!E34)</f>
        <v>431799.65896139998</v>
      </c>
      <c r="F37" s="294">
        <f>SUM(Atlantic!F34,Bergen!F34,Burlington!F34,Camden!F34,'Cape May'!F34,Cumberland!F34,Essex!F34,Gloucester!F34,Hudson!F34,Hunterdon!F34,Mercer!F34,Middlesex!F34,Monmouth!F34,Morris!F34,Ocean!F34,Passaic!F34,Salem!F34,Somerset!F34,Sussex!F34,Union!F34,Warren!F34)</f>
        <v>439259.61763355869</v>
      </c>
      <c r="G37" s="294">
        <f>SUM(Atlantic!G34,Bergen!G34,Burlington!G34,Camden!G34,'Cape May'!G34,Cumberland!G34,Essex!G34,Gloucester!G34,Hudson!G34,Hunterdon!G34,Mercer!G34,Middlesex!G34,Monmouth!G34,Morris!G34,Ocean!G34,Passaic!G34,Salem!G34,Somerset!G34,Sussex!G34,Union!G34,Warren!G34)</f>
        <v>449659.97282186116</v>
      </c>
      <c r="H37" s="294">
        <f>SUM(Atlantic!H34,Bergen!H34,Burlington!H34,Camden!H34,'Cape May'!H34,Cumberland!H34,Essex!H34,Gloucester!H34,Hudson!H34,Hunterdon!H34,Mercer!H34,Middlesex!H34,Monmouth!H34,Morris!H34,Ocean!H34,Passaic!H34,Salem!H34,Somerset!H34,Sussex!H34,Union!H34,Warren!H34)</f>
        <v>458455.66513528064</v>
      </c>
      <c r="I37" s="16">
        <f>SUM(Atlantic!I34,Bergen!I34,Burlington!I34,Camden!I34,'Cape May'!I34,Cumberland!I34,Essex!I34,Gloucester!I34,Hudson!I34,Hunterdon!I34,Mercer!I34,Middlesex!I34,Monmouth!I34,Morris!I34,Ocean!I34,Passaic!I34,Salem!I34,Somerset!I34,Sussex!I34,Union!I34,Warren!I34)</f>
        <v>0</v>
      </c>
      <c r="J37" s="16">
        <f>SUM(Atlantic!J34,Bergen!J34,Burlington!J34,Camden!J34,'Cape May'!J34,Cumberland!J34,Essex!J34,Gloucester!J34,Hudson!J34,Hunterdon!J34,Mercer!J34,Middlesex!J34,Monmouth!J34,Morris!J34,Ocean!J34,Passaic!J34,Salem!J34,Somerset!J34,Sussex!J34,Union!J34,Warren!J34)</f>
        <v>0</v>
      </c>
      <c r="K37" s="16">
        <f>SUM(Atlantic!K34,Bergen!K34,Burlington!K34,Camden!K34,'Cape May'!K34,Cumberland!K34,Essex!K34,Gloucester!K34,Hudson!K34,Hunterdon!K34,Mercer!K34,Middlesex!K34,Monmouth!K34,Morris!K34,Ocean!K34,Passaic!K34,Salem!K34,Somerset!K34,Sussex!K34,Union!K34,Warren!K34)</f>
        <v>0</v>
      </c>
      <c r="L37" s="16">
        <f>SUM(Atlantic!L34,Bergen!L34,Burlington!L34,Camden!L34,'Cape May'!L34,Cumberland!L34,Essex!L34,Gloucester!L34,Hudson!L34,Hunterdon!L34,Mercer!L34,Middlesex!L34,Monmouth!L34,Morris!L34,Ocean!L34,Passaic!L34,Salem!L34,Somerset!L34,Sussex!L34,Union!L34,Warren!L34)</f>
        <v>0</v>
      </c>
      <c r="M37" s="354">
        <f>SUM(Atlantic!M34,Bergen!M34,Burlington!M34,Camden!M34,'Cape May'!M34,Cumberland!M34,Essex!M34,Gloucester!M34,Hudson!M34,Hunterdon!M34,Mercer!M34,Middlesex!M34,Monmouth!M34,Morris!M34,Ocean!M34,Passaic!M34,Salem!M34,Somerset!M34,Sussex!M34,Union!M34,Warren!M34)</f>
        <v>0</v>
      </c>
      <c r="N37" s="16">
        <f>SUM(Atlantic!N34,Bergen!N34,Burlington!N34,Camden!N34,'Cape May'!N34,Cumberland!N34,Essex!N34,Gloucester!N34,Hudson!N34,Hunterdon!N34,Mercer!N34,Middlesex!N34,Monmouth!N34,Morris!N34,Ocean!N34,Passaic!N34,Salem!N34,Somerset!N34,Sussex!N34,Union!N34,Warren!N34)</f>
        <v>0</v>
      </c>
      <c r="O37" s="16">
        <f>SUM(Atlantic!O34,Bergen!O34,Burlington!O34,Camden!O34,'Cape May'!O34,Cumberland!O34,Essex!O34,Gloucester!O34,Hudson!O34,Hunterdon!O34,Mercer!O34,Middlesex!O34,Monmouth!O34,Morris!O34,Ocean!O34,Passaic!O34,Salem!O34,Somerset!O34,Sussex!O34,Union!O34,Warren!O34)</f>
        <v>0</v>
      </c>
      <c r="P37" s="16">
        <f>SUM(Atlantic!P34,Bergen!P34,Burlington!P34,Camden!P34,'Cape May'!P34,Cumberland!P34,Essex!P34,Gloucester!P34,Hudson!P34,Hunterdon!P34,Mercer!P34,Middlesex!P34,Monmouth!P34,Morris!P34,Ocean!P34,Passaic!P34,Salem!P34,Somerset!P34,Sussex!P34,Union!P34,Warren!P34)</f>
        <v>0</v>
      </c>
      <c r="Q37" s="16">
        <f>IF($B$4=$X$19,M37*'Technology Assumptions'!B$34,IF('Bioenergy Calculator'!$B$4='Bioenergy Calculator'!$X$21,M37*'Technology Assumptions'!B$34,IF('Bioenergy Calculator'!$B$4='Bioenergy Calculator'!$X$20,'Bioenergy Calculator'!M37*'Technology Assumptions'!B$36,IF('Bioenergy Calculator'!$B$4='Bioenergy Calculator'!$X$23,'Bioenergy Calculator'!M37*'Technology Assumptions'!B$35,IF('Bioenergy Calculator'!$B$4='Bioenergy Calculator'!$X$22,'Bioenergy Calculator'!M37*'Technology Assumptions'!B$37,'Bioenergy Calculator'!M37)))))</f>
        <v>0</v>
      </c>
      <c r="R37" s="16">
        <f>IF($B$4=$X$19,N37*'Technology Assumptions'!C$34,IF('Bioenergy Calculator'!$B$4='Bioenergy Calculator'!$X$21,N37*'Technology Assumptions'!C$34,IF('Bioenergy Calculator'!$B$4='Bioenergy Calculator'!$X$20,'Bioenergy Calculator'!N37*'Technology Assumptions'!C$36,IF('Bioenergy Calculator'!$B$4='Bioenergy Calculator'!$X$23,'Bioenergy Calculator'!N37*'Technology Assumptions'!C$35,IF('Bioenergy Calculator'!$B$4='Bioenergy Calculator'!$X$22,'Bioenergy Calculator'!N37*'Technology Assumptions'!C$37,'Bioenergy Calculator'!N37)))))</f>
        <v>0</v>
      </c>
      <c r="S37" s="16">
        <f>IF($B$4=$X$19,O37*'Technology Assumptions'!D$34,IF('Bioenergy Calculator'!$B$4='Bioenergy Calculator'!$X$21,O37*'Technology Assumptions'!D$34,IF('Bioenergy Calculator'!$B$4='Bioenergy Calculator'!$X$20,'Bioenergy Calculator'!O37*'Technology Assumptions'!D$36,IF('Bioenergy Calculator'!$B$4='Bioenergy Calculator'!$X$23,'Bioenergy Calculator'!O37*'Technology Assumptions'!D$35,IF('Bioenergy Calculator'!$B$4='Bioenergy Calculator'!$X$22,'Bioenergy Calculator'!O37*'Technology Assumptions'!D$37,'Bioenergy Calculator'!O37)))))</f>
        <v>0</v>
      </c>
      <c r="T37" s="16">
        <f>IF($B$4=$X$19,P37*'Technology Assumptions'!E$34,IF('Bioenergy Calculator'!$B$4='Bioenergy Calculator'!$X$21,P37*'Technology Assumptions'!E$34,IF('Bioenergy Calculator'!$B$4='Bioenergy Calculator'!$X$20,'Bioenergy Calculator'!P37*'Technology Assumptions'!E$36,IF('Bioenergy Calculator'!$B$4='Bioenergy Calculator'!$X$23,'Bioenergy Calculator'!P37*'Technology Assumptions'!E$35,IF('Bioenergy Calculator'!$B$4='Bioenergy Calculator'!$X$22,'Bioenergy Calculator'!P37*'Technology Assumptions'!E$37,'Bioenergy Calculator'!P37)))))</f>
        <v>0</v>
      </c>
    </row>
    <row r="38" spans="1:21" x14ac:dyDescent="0.25">
      <c r="A38" s="1065"/>
      <c r="B38" s="677" t="s">
        <v>1330</v>
      </c>
      <c r="C38" s="294">
        <f>SUM(Atlantic!C35,Bergen!C35,Burlington!C35,Camden!C35,'Cape May'!C35,Cumberland!C35,Essex!C35,Gloucester!C35,Hudson!C35,Hunterdon!C35,Mercer!C35,Middlesex!C35,Monmouth!C35,Morris!C35,Ocean!C35,Passaic!C35,Salem!C35,Somerset!C35,Sussex!C35,Union!C35,Warren!C35)</f>
        <v>582995.8208000001</v>
      </c>
      <c r="D38" s="294">
        <f>E38*'Conversion Tables'!C32</f>
        <v>6604176.6580224019</v>
      </c>
      <c r="E38" s="294">
        <f>SUM(Atlantic!E35,Bergen!E35,Burlington!E35,Camden!E35,'Cape May'!E35,Cumberland!E35,Essex!E35,Gloucester!E35,Hudson!E35,Hunterdon!E35,Mercer!E35,Middlesex!E35,Monmouth!E35,Morris!E35,Ocean!E35,Passaic!E35,Salem!E35,Somerset!E35,Sussex!E35,Union!E35,Warren!E35)</f>
        <v>373117.32531200012</v>
      </c>
      <c r="F38" s="294">
        <f>SUM(Atlantic!F35,Bergen!F35,Burlington!F35,Camden!F35,'Cape May'!F35,Cumberland!F35,Essex!F35,Gloucester!F35,Hudson!F35,Hunterdon!F35,Mercer!F35,Middlesex!F35,Monmouth!F35,Morris!F35,Ocean!F35,Passaic!F35,Salem!F35,Somerset!F35,Sussex!F35,Union!F35,Warren!F35)</f>
        <v>398543.74342195783</v>
      </c>
      <c r="G38" s="294">
        <f>SUM(Atlantic!G35,Bergen!G35,Burlington!G35,Camden!G35,'Cape May'!G35,Cumberland!G35,Essex!G35,Gloucester!G35,Hudson!G35,Hunterdon!G35,Mercer!G35,Middlesex!G35,Monmouth!G35,Morris!G35,Ocean!G35,Passaic!G35,Salem!G35,Somerset!G35,Sussex!G35,Union!G35,Warren!G35)</f>
        <v>429127.3853965677</v>
      </c>
      <c r="H38" s="294">
        <f>SUM(Atlantic!H35,Bergen!H35,Burlington!H35,Camden!H35,'Cape May'!H35,Cumberland!H35,Essex!H35,Gloucester!H35,Hudson!H35,Hunterdon!H35,Mercer!H35,Middlesex!H35,Monmouth!H35,Morris!H35,Ocean!H35,Passaic!H35,Salem!H35,Somerset!H35,Sussex!H35,Union!H35,Warren!H35)</f>
        <v>460233.94506212231</v>
      </c>
      <c r="I38" s="16">
        <f>SUM(Atlantic!I35,Bergen!I35,Burlington!I35,Camden!I35,'Cape May'!I35,Cumberland!I35,Essex!I35,Gloucester!I35,Hudson!I35,Hunterdon!I35,Mercer!I35,Middlesex!I35,Monmouth!I35,Morris!I35,Ocean!I35,Passaic!I35,Salem!I35,Somerset!I35,Sussex!I35,Union!I35,Warren!I35)</f>
        <v>0</v>
      </c>
      <c r="J38" s="16">
        <f>SUM(Atlantic!J35,Bergen!J35,Burlington!J35,Camden!J35,'Cape May'!J35,Cumberland!J35,Essex!J35,Gloucester!J35,Hudson!J35,Hunterdon!J35,Mercer!J35,Middlesex!J35,Monmouth!J35,Morris!J35,Ocean!J35,Passaic!J35,Salem!J35,Somerset!J35,Sussex!J35,Union!J35,Warren!J35)</f>
        <v>0</v>
      </c>
      <c r="K38" s="16">
        <f>SUM(Atlantic!K35,Bergen!K35,Burlington!K35,Camden!K35,'Cape May'!K35,Cumberland!K35,Essex!K35,Gloucester!K35,Hudson!K35,Hunterdon!K35,Mercer!K35,Middlesex!K35,Monmouth!K35,Morris!K35,Ocean!K35,Passaic!K35,Salem!K35,Somerset!K35,Sussex!K35,Union!K35,Warren!K35)</f>
        <v>0</v>
      </c>
      <c r="L38" s="16">
        <f>SUM(Atlantic!L35,Bergen!L35,Burlington!L35,Camden!L35,'Cape May'!L35,Cumberland!L35,Essex!L35,Gloucester!L35,Hudson!L35,Hunterdon!L35,Mercer!L35,Middlesex!L35,Monmouth!L35,Morris!L35,Ocean!L35,Passaic!L35,Salem!L35,Somerset!L35,Sussex!L35,Union!L35,Warren!L35)</f>
        <v>0</v>
      </c>
      <c r="M38" s="354">
        <f>SUM(Atlantic!M35,Bergen!M35,Burlington!M35,Camden!M35,'Cape May'!M35,Cumberland!M35,Essex!M35,Gloucester!M35,Hudson!M35,Hunterdon!M35,Mercer!M35,Middlesex!M35,Monmouth!M35,Morris!M35,Ocean!M35,Passaic!M35,Salem!M35,Somerset!M35,Sussex!M35,Union!M35,Warren!M35)</f>
        <v>0</v>
      </c>
      <c r="N38" s="16">
        <f>SUM(Atlantic!N35,Bergen!N35,Burlington!N35,Camden!N35,'Cape May'!N35,Cumberland!N35,Essex!N35,Gloucester!N35,Hudson!N35,Hunterdon!N35,Mercer!N35,Middlesex!N35,Monmouth!N35,Morris!N35,Ocean!N35,Passaic!N35,Salem!N35,Somerset!N35,Sussex!N35,Union!N35,Warren!N35)</f>
        <v>0</v>
      </c>
      <c r="O38" s="16">
        <f>SUM(Atlantic!O35,Bergen!O35,Burlington!O35,Camden!O35,'Cape May'!O35,Cumberland!O35,Essex!O35,Gloucester!O35,Hudson!O35,Hunterdon!O35,Mercer!O35,Middlesex!O35,Monmouth!O35,Morris!O35,Ocean!O35,Passaic!O35,Salem!O35,Somerset!O35,Sussex!O35,Union!O35,Warren!O35)</f>
        <v>0</v>
      </c>
      <c r="P38" s="16">
        <f>SUM(Atlantic!P35,Bergen!P35,Burlington!P35,Camden!P35,'Cape May'!P35,Cumberland!P35,Essex!P35,Gloucester!P35,Hudson!P35,Hunterdon!P35,Mercer!P35,Middlesex!P35,Monmouth!P35,Morris!P35,Ocean!P35,Passaic!P35,Salem!P35,Somerset!P35,Sussex!P35,Union!P35,Warren!P35)</f>
        <v>0</v>
      </c>
      <c r="Q38" s="16">
        <f>IF($B$4=$X$19,M38*'Technology Assumptions'!B$34,IF('Bioenergy Calculator'!$B$4='Bioenergy Calculator'!$X$21,M38*'Technology Assumptions'!B$34,IF('Bioenergy Calculator'!$B$4='Bioenergy Calculator'!$X$20,'Bioenergy Calculator'!M38*'Technology Assumptions'!B$36,IF('Bioenergy Calculator'!$B$4='Bioenergy Calculator'!$X$23,'Bioenergy Calculator'!M38*'Technology Assumptions'!B$35,IF('Bioenergy Calculator'!$B$4='Bioenergy Calculator'!$X$22,'Bioenergy Calculator'!M38*'Technology Assumptions'!B$37,'Bioenergy Calculator'!M38)))))</f>
        <v>0</v>
      </c>
      <c r="R38" s="16">
        <f>IF($B$4=$X$19,N38*'Technology Assumptions'!C$34,IF('Bioenergy Calculator'!$B$4='Bioenergy Calculator'!$X$21,N38*'Technology Assumptions'!C$34,IF('Bioenergy Calculator'!$B$4='Bioenergy Calculator'!$X$20,'Bioenergy Calculator'!N38*'Technology Assumptions'!C$36,IF('Bioenergy Calculator'!$B$4='Bioenergy Calculator'!$X$23,'Bioenergy Calculator'!N38*'Technology Assumptions'!C$35,IF('Bioenergy Calculator'!$B$4='Bioenergy Calculator'!$X$22,'Bioenergy Calculator'!N38*'Technology Assumptions'!C$37,'Bioenergy Calculator'!N38)))))</f>
        <v>0</v>
      </c>
      <c r="S38" s="16">
        <f>IF($B$4=$X$19,O38*'Technology Assumptions'!D$34,IF('Bioenergy Calculator'!$B$4='Bioenergy Calculator'!$X$21,O38*'Technology Assumptions'!D$34,IF('Bioenergy Calculator'!$B$4='Bioenergy Calculator'!$X$20,'Bioenergy Calculator'!O38*'Technology Assumptions'!D$36,IF('Bioenergy Calculator'!$B$4='Bioenergy Calculator'!$X$23,'Bioenergy Calculator'!O38*'Technology Assumptions'!D$35,IF('Bioenergy Calculator'!$B$4='Bioenergy Calculator'!$X$22,'Bioenergy Calculator'!O38*'Technology Assumptions'!D$37,'Bioenergy Calculator'!O38)))))</f>
        <v>0</v>
      </c>
      <c r="T38" s="16">
        <f>IF($B$4=$X$19,P38*'Technology Assumptions'!E$34,IF('Bioenergy Calculator'!$B$4='Bioenergy Calculator'!$X$21,P38*'Technology Assumptions'!E$34,IF('Bioenergy Calculator'!$B$4='Bioenergy Calculator'!$X$20,'Bioenergy Calculator'!P38*'Technology Assumptions'!E$36,IF('Bioenergy Calculator'!$B$4='Bioenergy Calculator'!$X$23,'Bioenergy Calculator'!P38*'Technology Assumptions'!E$35,IF('Bioenergy Calculator'!$B$4='Bioenergy Calculator'!$X$22,'Bioenergy Calculator'!P38*'Technology Assumptions'!E$37,'Bioenergy Calculator'!P38)))))</f>
        <v>0</v>
      </c>
    </row>
    <row r="39" spans="1:21" x14ac:dyDescent="0.25">
      <c r="A39" s="1065"/>
      <c r="B39" s="4" t="s">
        <v>303</v>
      </c>
      <c r="C39" s="294"/>
      <c r="D39" s="294"/>
      <c r="E39" s="294"/>
      <c r="F39" s="294"/>
      <c r="G39" s="294"/>
      <c r="H39" s="294"/>
      <c r="I39" s="16"/>
      <c r="J39" s="16"/>
      <c r="K39" s="16"/>
      <c r="L39" s="16"/>
      <c r="M39" s="354"/>
      <c r="N39" s="16"/>
      <c r="O39" s="16"/>
      <c r="P39" s="16"/>
      <c r="Q39" s="16"/>
      <c r="R39" s="16"/>
      <c r="S39" s="16"/>
      <c r="T39" s="16"/>
    </row>
    <row r="40" spans="1:21" x14ac:dyDescent="0.25">
      <c r="A40" s="1065"/>
      <c r="B40" s="11" t="s">
        <v>563</v>
      </c>
      <c r="C40" s="294">
        <f>SUM(Atlantic!C37,Bergen!C37,Burlington!C37,Camden!C37,'Cape May'!C37,Cumberland!C37,Essex!C37,Gloucester!C37,Hudson!C37,Hunterdon!C37,Mercer!C37,Middlesex!C37,Monmouth!C37,Morris!C37,Ocean!C37,Passaic!C37,Salem!C37,Somerset!C37,Sussex!C37,Union!C37,Warren!C37)</f>
        <v>66877.455000000016</v>
      </c>
      <c r="D40" s="294">
        <f>E40*'Conversion Tables'!C34</f>
        <v>1070039.2800000003</v>
      </c>
      <c r="E40" s="294">
        <f>SUM(Atlantic!E37,Bergen!E37,Burlington!E37,Camden!E37,'Cape May'!E37,Cumberland!E37,Essex!E37,Gloucester!E37,Hudson!E37,Hunterdon!E37,Mercer!E37,Middlesex!E37,Monmouth!E37,Morris!E37,Ocean!E37,Passaic!E37,Salem!E37,Somerset!E37,Sussex!E37,Union!E37,Warren!E37)</f>
        <v>66877.455000000016</v>
      </c>
      <c r="F40" s="294">
        <f>SUM(Atlantic!F37,Bergen!F37,Burlington!F37,Camden!F37,'Cape May'!F37,Cumberland!F37,Essex!F37,Gloucester!F37,Hudson!F37,Hunterdon!F37,Mercer!F37,Middlesex!F37,Monmouth!F37,Morris!F37,Ocean!F37,Passaic!F37,Salem!F37,Somerset!F37,Sussex!F37,Union!F37,Warren!F37)</f>
        <v>74005.394705036408</v>
      </c>
      <c r="G40" s="294">
        <f>SUM(Atlantic!G37,Bergen!G37,Burlington!G37,Camden!G37,'Cape May'!G37,Cumberland!G37,Essex!G37,Gloucester!G37,Hudson!G37,Hunterdon!G37,Mercer!G37,Middlesex!G37,Monmouth!G37,Morris!G37,Ocean!G37,Passaic!G37,Salem!G37,Somerset!G37,Sussex!G37,Union!G37,Warren!G37)</f>
        <v>82121.072273085476</v>
      </c>
      <c r="H40" s="294">
        <f>SUM(Atlantic!H37,Bergen!H37,Burlington!H37,Camden!H37,'Cape May'!H37,Cumberland!H37,Essex!H37,Gloucester!H37,Hudson!H37,Hunterdon!H37,Mercer!H37,Middlesex!H37,Monmouth!H37,Morris!H37,Ocean!H37,Passaic!H37,Salem!H37,Somerset!H37,Sussex!H37,Union!H37,Warren!H37)</f>
        <v>91026.35672982152</v>
      </c>
      <c r="I40" s="16">
        <f>SUM(Atlantic!I37,Bergen!I37,Burlington!I37,Camden!I37,'Cape May'!I37,Cumberland!I37,Essex!I37,Gloucester!I37,Hudson!I37,Hunterdon!I37,Mercer!I37,Middlesex!I37,Monmouth!I37,Morris!I37,Ocean!I37,Passaic!I37,Salem!I37,Somerset!I37,Sussex!I37,Union!I37,Warren!I37)</f>
        <v>0</v>
      </c>
      <c r="J40" s="16">
        <f>SUM(Atlantic!J37,Bergen!J37,Burlington!J37,Camden!J37,'Cape May'!J37,Cumberland!J37,Essex!J37,Gloucester!J37,Hudson!J37,Hunterdon!J37,Mercer!J37,Middlesex!J37,Monmouth!J37,Morris!J37,Ocean!J37,Passaic!J37,Salem!J37,Somerset!J37,Sussex!J37,Union!J37,Warren!J37)</f>
        <v>0</v>
      </c>
      <c r="K40" s="16">
        <f>SUM(Atlantic!K37,Bergen!K37,Burlington!K37,Camden!K37,'Cape May'!K37,Cumberland!K37,Essex!K37,Gloucester!K37,Hudson!K37,Hunterdon!K37,Mercer!K37,Middlesex!K37,Monmouth!K37,Morris!K37,Ocean!K37,Passaic!K37,Salem!K37,Somerset!K37,Sussex!K37,Union!K37,Warren!K37)</f>
        <v>0</v>
      </c>
      <c r="L40" s="16">
        <f>SUM(Atlantic!L37,Bergen!L37,Burlington!L37,Camden!L37,'Cape May'!L37,Cumberland!L37,Essex!L37,Gloucester!L37,Hudson!L37,Hunterdon!L37,Mercer!L37,Middlesex!L37,Monmouth!L37,Morris!L37,Ocean!L37,Passaic!L37,Salem!L37,Somerset!L37,Sussex!L37,Union!L37,Warren!L37)</f>
        <v>0</v>
      </c>
      <c r="M40" s="354">
        <f>SUM(Atlantic!M37,Bergen!M37,Burlington!M37,Camden!M37,'Cape May'!M37,Cumberland!M37,Essex!M37,Gloucester!M37,Hudson!M37,Hunterdon!M37,Mercer!M37,Middlesex!M37,Monmouth!M37,Morris!M37,Ocean!M37,Passaic!M37,Salem!M37,Somerset!M37,Sussex!M37,Union!M37,Warren!M37)</f>
        <v>0</v>
      </c>
      <c r="N40" s="16">
        <f>SUM(Atlantic!N37,Bergen!N37,Burlington!N37,Camden!N37,'Cape May'!N37,Cumberland!N37,Essex!N37,Gloucester!N37,Hudson!N37,Hunterdon!N37,Mercer!N37,Middlesex!N37,Monmouth!N37,Morris!N37,Ocean!N37,Passaic!N37,Salem!N37,Somerset!N37,Sussex!N37,Union!N37,Warren!N37)</f>
        <v>0</v>
      </c>
      <c r="O40" s="16">
        <f>SUM(Atlantic!O37,Bergen!O37,Burlington!O37,Camden!O37,'Cape May'!O37,Cumberland!O37,Essex!O37,Gloucester!O37,Hudson!O37,Hunterdon!O37,Mercer!O37,Middlesex!O37,Monmouth!O37,Morris!O37,Ocean!O37,Passaic!O37,Salem!O37,Somerset!O37,Sussex!O37,Union!O37,Warren!O37)</f>
        <v>0</v>
      </c>
      <c r="P40" s="16">
        <f>SUM(Atlantic!P37,Bergen!P37,Burlington!P37,Camden!P37,'Cape May'!P37,Cumberland!P37,Essex!P37,Gloucester!P37,Hudson!P37,Hunterdon!P37,Mercer!P37,Middlesex!P37,Monmouth!P37,Morris!P37,Ocean!P37,Passaic!P37,Salem!P37,Somerset!P37,Sussex!P37,Union!P37,Warren!P37)</f>
        <v>0</v>
      </c>
      <c r="Q40" s="16">
        <f>IF($B$4=$X$19,M40*'Technology Assumptions'!B$34,IF('Bioenergy Calculator'!$B$4='Bioenergy Calculator'!$X$21,M40*'Technology Assumptions'!B$34,IF('Bioenergy Calculator'!$B$4='Bioenergy Calculator'!$X$20,'Bioenergy Calculator'!M40*'Technology Assumptions'!B$36,IF('Bioenergy Calculator'!$B$4='Bioenergy Calculator'!$X$23,'Bioenergy Calculator'!M40*'Technology Assumptions'!B$35,IF('Bioenergy Calculator'!$B$4='Bioenergy Calculator'!$X$22,'Bioenergy Calculator'!M40*'Technology Assumptions'!B$37,'Bioenergy Calculator'!M40)))))</f>
        <v>0</v>
      </c>
      <c r="R40" s="16">
        <f>IF($B$4=$X$19,N40*'Technology Assumptions'!C$34,IF('Bioenergy Calculator'!$B$4='Bioenergy Calculator'!$X$21,N40*'Technology Assumptions'!C$34,IF('Bioenergy Calculator'!$B$4='Bioenergy Calculator'!$X$20,'Bioenergy Calculator'!N40*'Technology Assumptions'!C$36,IF('Bioenergy Calculator'!$B$4='Bioenergy Calculator'!$X$23,'Bioenergy Calculator'!N40*'Technology Assumptions'!C$35,IF('Bioenergy Calculator'!$B$4='Bioenergy Calculator'!$X$22,'Bioenergy Calculator'!N40*'Technology Assumptions'!C$37,'Bioenergy Calculator'!N40)))))</f>
        <v>0</v>
      </c>
      <c r="S40" s="16">
        <f>IF($B$4=$X$19,O40*'Technology Assumptions'!D$34,IF('Bioenergy Calculator'!$B$4='Bioenergy Calculator'!$X$21,O40*'Technology Assumptions'!D$34,IF('Bioenergy Calculator'!$B$4='Bioenergy Calculator'!$X$20,'Bioenergy Calculator'!O40*'Technology Assumptions'!D$36,IF('Bioenergy Calculator'!$B$4='Bioenergy Calculator'!$X$23,'Bioenergy Calculator'!O40*'Technology Assumptions'!D$35,IF('Bioenergy Calculator'!$B$4='Bioenergy Calculator'!$X$22,'Bioenergy Calculator'!O40*'Technology Assumptions'!D$37,'Bioenergy Calculator'!O40)))))</f>
        <v>0</v>
      </c>
      <c r="T40" s="16">
        <f>IF($B$4=$X$19,P40*'Technology Assumptions'!E$34,IF('Bioenergy Calculator'!$B$4='Bioenergy Calculator'!$X$21,P40*'Technology Assumptions'!E$34,IF('Bioenergy Calculator'!$B$4='Bioenergy Calculator'!$X$20,'Bioenergy Calculator'!P40*'Technology Assumptions'!E$36,IF('Bioenergy Calculator'!$B$4='Bioenergy Calculator'!$X$23,'Bioenergy Calculator'!P40*'Technology Assumptions'!E$35,IF('Bioenergy Calculator'!$B$4='Bioenergy Calculator'!$X$22,'Bioenergy Calculator'!P40*'Technology Assumptions'!E$37,'Bioenergy Calculator'!P40)))))</f>
        <v>0</v>
      </c>
    </row>
    <row r="41" spans="1:21" x14ac:dyDescent="0.25">
      <c r="A41" s="1065"/>
      <c r="B41" s="11" t="s">
        <v>565</v>
      </c>
      <c r="C41" s="294">
        <f>SUM(Atlantic!C38,Bergen!C38,Burlington!C38,Camden!C38,'Cape May'!C38,Cumberland!C38,Essex!C38,Gloucester!C38,Hudson!C38,Hunterdon!C38,Mercer!C38,Middlesex!C38,Monmouth!C38,Morris!C38,Ocean!C38,Passaic!C38,Salem!C38,Somerset!C38,Sussex!C38,Union!C38,Warren!C38)</f>
        <v>129506.64000000003</v>
      </c>
      <c r="D41" s="294">
        <f>E41*'Conversion Tables'!C35</f>
        <v>1146133.7640000002</v>
      </c>
      <c r="E41" s="294">
        <f>SUM(Atlantic!E38,Bergen!E38,Burlington!E38,Camden!E38,'Cape May'!E38,Cumberland!E38,Essex!E38,Gloucester!E38,Hudson!E38,Hunterdon!E38,Mercer!E38,Middlesex!E38,Monmouth!E38,Morris!E38,Ocean!E38,Passaic!E38,Salem!E38,Somerset!E38,Sussex!E38,Union!E38,Warren!E38)</f>
        <v>64753.320000000014</v>
      </c>
      <c r="F41" s="294">
        <f>SUM(Atlantic!F38,Bergen!F38,Burlington!F38,Camden!F38,'Cape May'!F38,Cumberland!F38,Essex!F38,Gloucester!F38,Hudson!F38,Hunterdon!F38,Mercer!F38,Middlesex!F38,Monmouth!F38,Morris!F38,Ocean!F38,Passaic!F38,Salem!F38,Somerset!F38,Sussex!F38,Union!F38,Warren!F38)</f>
        <v>71977.568035515258</v>
      </c>
      <c r="G41" s="294">
        <f>SUM(Atlantic!G38,Bergen!G38,Burlington!G38,Camden!G38,'Cape May'!G38,Cumberland!G38,Essex!G38,Gloucester!G38,Hudson!G38,Hunterdon!G38,Mercer!G38,Middlesex!G38,Monmouth!G38,Morris!G38,Ocean!G38,Passaic!G38,Salem!G38,Somerset!G38,Sussex!G38,Union!G38,Warren!G38)</f>
        <v>80427.9819182098</v>
      </c>
      <c r="H41" s="294">
        <f>SUM(Atlantic!H38,Bergen!H38,Burlington!H38,Camden!H38,'Cape May'!H38,Cumberland!H38,Essex!H38,Gloucester!H38,Hudson!H38,Hunterdon!H38,Mercer!H38,Middlesex!H38,Monmouth!H38,Morris!H38,Ocean!H38,Passaic!H38,Salem!H38,Somerset!H38,Sussex!H38,Union!H38,Warren!H38)</f>
        <v>89646.396858445543</v>
      </c>
      <c r="I41" s="16">
        <f>SUM(Atlantic!I38,Bergen!I38,Burlington!I38,Camden!I38,'Cape May'!I38,Cumberland!I38,Essex!I38,Gloucester!I38,Hudson!I38,Hunterdon!I38,Mercer!I38,Middlesex!I38,Monmouth!I38,Morris!I38,Ocean!I38,Passaic!I38,Salem!I38,Somerset!I38,Sussex!I38,Union!I38,Warren!I38)</f>
        <v>0</v>
      </c>
      <c r="J41" s="16">
        <f>SUM(Atlantic!J38,Bergen!J38,Burlington!J38,Camden!J38,'Cape May'!J38,Cumberland!J38,Essex!J38,Gloucester!J38,Hudson!J38,Hunterdon!J38,Mercer!J38,Middlesex!J38,Monmouth!J38,Morris!J38,Ocean!J38,Passaic!J38,Salem!J38,Somerset!J38,Sussex!J38,Union!J38,Warren!J38)</f>
        <v>0</v>
      </c>
      <c r="K41" s="16">
        <f>SUM(Atlantic!K38,Bergen!K38,Burlington!K38,Camden!K38,'Cape May'!K38,Cumberland!K38,Essex!K38,Gloucester!K38,Hudson!K38,Hunterdon!K38,Mercer!K38,Middlesex!K38,Monmouth!K38,Morris!K38,Ocean!K38,Passaic!K38,Salem!K38,Somerset!K38,Sussex!K38,Union!K38,Warren!K38)</f>
        <v>0</v>
      </c>
      <c r="L41" s="16">
        <f>SUM(Atlantic!L38,Bergen!L38,Burlington!L38,Camden!L38,'Cape May'!L38,Cumberland!L38,Essex!L38,Gloucester!L38,Hudson!L38,Hunterdon!L38,Mercer!L38,Middlesex!L38,Monmouth!L38,Morris!L38,Ocean!L38,Passaic!L38,Salem!L38,Somerset!L38,Sussex!L38,Union!L38,Warren!L38)</f>
        <v>0</v>
      </c>
      <c r="M41" s="354">
        <f>SUM(Atlantic!M38,Bergen!M38,Burlington!M38,Camden!M38,'Cape May'!M38,Cumberland!M38,Essex!M38,Gloucester!M38,Hudson!M38,Hunterdon!M38,Mercer!M38,Middlesex!M38,Monmouth!M38,Morris!M38,Ocean!M38,Passaic!M38,Salem!M38,Somerset!M38,Sussex!M38,Union!M38,Warren!M38)</f>
        <v>0</v>
      </c>
      <c r="N41" s="16">
        <f>SUM(Atlantic!N38,Bergen!N38,Burlington!N38,Camden!N38,'Cape May'!N38,Cumberland!N38,Essex!N38,Gloucester!N38,Hudson!N38,Hunterdon!N38,Mercer!N38,Middlesex!N38,Monmouth!N38,Morris!N38,Ocean!N38,Passaic!N38,Salem!N38,Somerset!N38,Sussex!N38,Union!N38,Warren!N38)</f>
        <v>0</v>
      </c>
      <c r="O41" s="16">
        <f>SUM(Atlantic!O38,Bergen!O38,Burlington!O38,Camden!O38,'Cape May'!O38,Cumberland!O38,Essex!O38,Gloucester!O38,Hudson!O38,Hunterdon!O38,Mercer!O38,Middlesex!O38,Monmouth!O38,Morris!O38,Ocean!O38,Passaic!O38,Salem!O38,Somerset!O38,Sussex!O38,Union!O38,Warren!O38)</f>
        <v>0</v>
      </c>
      <c r="P41" s="16">
        <f>SUM(Atlantic!P38,Bergen!P38,Burlington!P38,Camden!P38,'Cape May'!P38,Cumberland!P38,Essex!P38,Gloucester!P38,Hudson!P38,Hunterdon!P38,Mercer!P38,Middlesex!P38,Monmouth!P38,Morris!P38,Ocean!P38,Passaic!P38,Salem!P38,Somerset!P38,Sussex!P38,Union!P38,Warren!P38)</f>
        <v>0</v>
      </c>
      <c r="Q41" s="16">
        <f>IF($B$4=$X$19,M41*'Technology Assumptions'!B$34,IF('Bioenergy Calculator'!$B$4='Bioenergy Calculator'!$X$21,M41*'Technology Assumptions'!B$34,IF('Bioenergy Calculator'!$B$4='Bioenergy Calculator'!$X$20,'Bioenergy Calculator'!M41*'Technology Assumptions'!B$36,IF('Bioenergy Calculator'!$B$4='Bioenergy Calculator'!$X$23,'Bioenergy Calculator'!M41*'Technology Assumptions'!B$35,IF('Bioenergy Calculator'!$B$4='Bioenergy Calculator'!$X$22,'Bioenergy Calculator'!M41*'Technology Assumptions'!B$37,'Bioenergy Calculator'!M41)))))</f>
        <v>0</v>
      </c>
      <c r="R41" s="16">
        <f>IF($B$4=$X$19,N41*'Technology Assumptions'!C$34,IF('Bioenergy Calculator'!$B$4='Bioenergy Calculator'!$X$21,N41*'Technology Assumptions'!C$34,IF('Bioenergy Calculator'!$B$4='Bioenergy Calculator'!$X$20,'Bioenergy Calculator'!N41*'Technology Assumptions'!C$36,IF('Bioenergy Calculator'!$B$4='Bioenergy Calculator'!$X$23,'Bioenergy Calculator'!N41*'Technology Assumptions'!C$35,IF('Bioenergy Calculator'!$B$4='Bioenergy Calculator'!$X$22,'Bioenergy Calculator'!N41*'Technology Assumptions'!C$37,'Bioenergy Calculator'!N41)))))</f>
        <v>0</v>
      </c>
      <c r="S41" s="16">
        <f>IF($B$4=$X$19,O41*'Technology Assumptions'!D$34,IF('Bioenergy Calculator'!$B$4='Bioenergy Calculator'!$X$21,O41*'Technology Assumptions'!D$34,IF('Bioenergy Calculator'!$B$4='Bioenergy Calculator'!$X$20,'Bioenergy Calculator'!O41*'Technology Assumptions'!D$36,IF('Bioenergy Calculator'!$B$4='Bioenergy Calculator'!$X$23,'Bioenergy Calculator'!O41*'Technology Assumptions'!D$35,IF('Bioenergy Calculator'!$B$4='Bioenergy Calculator'!$X$22,'Bioenergy Calculator'!O41*'Technology Assumptions'!D$37,'Bioenergy Calculator'!O41)))))</f>
        <v>0</v>
      </c>
      <c r="T41" s="16">
        <f>IF($B$4=$X$19,P41*'Technology Assumptions'!E$34,IF('Bioenergy Calculator'!$B$4='Bioenergy Calculator'!$X$21,P41*'Technology Assumptions'!E$34,IF('Bioenergy Calculator'!$B$4='Bioenergy Calculator'!$X$20,'Bioenergy Calculator'!P41*'Technology Assumptions'!E$36,IF('Bioenergy Calculator'!$B$4='Bioenergy Calculator'!$X$23,'Bioenergy Calculator'!P41*'Technology Assumptions'!E$35,IF('Bioenergy Calculator'!$B$4='Bioenergy Calculator'!$X$22,'Bioenergy Calculator'!P41*'Technology Assumptions'!E$37,'Bioenergy Calculator'!P41)))))</f>
        <v>0</v>
      </c>
    </row>
    <row r="42" spans="1:21" x14ac:dyDescent="0.25">
      <c r="A42" s="1065"/>
      <c r="B42" s="17" t="s">
        <v>555</v>
      </c>
      <c r="C42" s="294">
        <f>SUM(Atlantic!C39,Bergen!C39,Burlington!C39,Camden!C39,'Cape May'!C39,Cumberland!C39,Essex!C39,Gloucester!C39,Hudson!C39,Hunterdon!C39,Mercer!C39,Middlesex!C39,Monmouth!C39,Morris!C39,Ocean!C39,Passaic!C39,Salem!C39,Somerset!C39,Sussex!C39,Union!C39,Warren!C39)</f>
        <v>736575.51599999995</v>
      </c>
      <c r="D42" s="294">
        <f>E42*'Conversion Tables'!C36</f>
        <v>0</v>
      </c>
      <c r="E42" s="294">
        <f>SUM(Atlantic!E39,Bergen!E39,Burlington!E39,Camden!E39,'Cape May'!E39,Cumberland!E39,Essex!E39,Gloucester!E39,Hudson!E39,Hunterdon!E39,Mercer!E39,Middlesex!E39,Monmouth!E39,Morris!E39,Ocean!E39,Passaic!E39,Salem!E39,Somerset!E39,Sussex!E39,Union!E39,Warren!E39)</f>
        <v>0</v>
      </c>
      <c r="F42" s="294">
        <f>SUM(Atlantic!F39,Bergen!F39,Burlington!F39,Camden!F39,'Cape May'!F39,Cumberland!F39,Essex!F39,Gloucester!F39,Hudson!F39,Hunterdon!F39,Mercer!F39,Middlesex!F39,Monmouth!F39,Morris!F39,Ocean!F39,Passaic!F39,Salem!F39,Somerset!F39,Sussex!F39,Union!F39,Warren!F39)</f>
        <v>0</v>
      </c>
      <c r="G42" s="294">
        <f>SUM(Atlantic!G39,Bergen!G39,Burlington!G39,Camden!G39,'Cape May'!G39,Cumberland!G39,Essex!G39,Gloucester!G39,Hudson!G39,Hunterdon!G39,Mercer!G39,Middlesex!G39,Monmouth!G39,Morris!G39,Ocean!G39,Passaic!G39,Salem!G39,Somerset!G39,Sussex!G39,Union!G39,Warren!G39)</f>
        <v>0</v>
      </c>
      <c r="H42" s="294">
        <f>SUM(Atlantic!H39,Bergen!H39,Burlington!H39,Camden!H39,'Cape May'!H39,Cumberland!H39,Essex!H39,Gloucester!H39,Hudson!H39,Hunterdon!H39,Mercer!H39,Middlesex!H39,Monmouth!H39,Morris!H39,Ocean!H39,Passaic!H39,Salem!H39,Somerset!H39,Sussex!H39,Union!H39,Warren!H39)</f>
        <v>0</v>
      </c>
      <c r="I42" s="16">
        <f>SUM(Atlantic!I39,Bergen!I39,Burlington!I39,Camden!I39,'Cape May'!I39,Cumberland!I39,Essex!I39,Gloucester!I39,Hudson!I39,Hunterdon!I39,Mercer!I39,Middlesex!I39,Monmouth!I39,Morris!I39,Ocean!I39,Passaic!I39,Salem!I39,Somerset!I39,Sussex!I39,Union!I39,Warren!I39)</f>
        <v>0</v>
      </c>
      <c r="J42" s="16">
        <f>SUM(Atlantic!J39,Bergen!J39,Burlington!J39,Camden!J39,'Cape May'!J39,Cumberland!J39,Essex!J39,Gloucester!J39,Hudson!J39,Hunterdon!J39,Mercer!J39,Middlesex!J39,Monmouth!J39,Morris!J39,Ocean!J39,Passaic!J39,Salem!J39,Somerset!J39,Sussex!J39,Union!J39,Warren!J39)</f>
        <v>0</v>
      </c>
      <c r="K42" s="16">
        <f>SUM(Atlantic!K39,Bergen!K39,Burlington!K39,Camden!K39,'Cape May'!K39,Cumberland!K39,Essex!K39,Gloucester!K39,Hudson!K39,Hunterdon!K39,Mercer!K39,Middlesex!K39,Monmouth!K39,Morris!K39,Ocean!K39,Passaic!K39,Salem!K39,Somerset!K39,Sussex!K39,Union!K39,Warren!K39)</f>
        <v>0</v>
      </c>
      <c r="L42" s="16">
        <f>SUM(Atlantic!L39,Bergen!L39,Burlington!L39,Camden!L39,'Cape May'!L39,Cumberland!L39,Essex!L39,Gloucester!L39,Hudson!L39,Hunterdon!L39,Mercer!L39,Middlesex!L39,Monmouth!L39,Morris!L39,Ocean!L39,Passaic!L39,Salem!L39,Somerset!L39,Sussex!L39,Union!L39,Warren!L39)</f>
        <v>0</v>
      </c>
      <c r="M42" s="354">
        <f>SUM(Atlantic!M39,Bergen!M39,Burlington!M39,Camden!M39,'Cape May'!M39,Cumberland!M39,Essex!M39,Gloucester!M39,Hudson!M39,Hunterdon!M39,Mercer!M39,Middlesex!M39,Monmouth!M39,Morris!M39,Ocean!M39,Passaic!M39,Salem!M39,Somerset!M39,Sussex!M39,Union!M39,Warren!M39)</f>
        <v>0</v>
      </c>
      <c r="N42" s="16">
        <f>SUM(Atlantic!N39,Bergen!N39,Burlington!N39,Camden!N39,'Cape May'!N39,Cumberland!N39,Essex!N39,Gloucester!N39,Hudson!N39,Hunterdon!N39,Mercer!N39,Middlesex!N39,Monmouth!N39,Morris!N39,Ocean!N39,Passaic!N39,Salem!N39,Somerset!N39,Sussex!N39,Union!N39,Warren!N39)</f>
        <v>0</v>
      </c>
      <c r="O42" s="16">
        <f>SUM(Atlantic!O39,Bergen!O39,Burlington!O39,Camden!O39,'Cape May'!O39,Cumberland!O39,Essex!O39,Gloucester!O39,Hudson!O39,Hunterdon!O39,Mercer!O39,Middlesex!O39,Monmouth!O39,Morris!O39,Ocean!O39,Passaic!O39,Salem!O39,Somerset!O39,Sussex!O39,Union!O39,Warren!O39)</f>
        <v>0</v>
      </c>
      <c r="P42" s="16">
        <f>SUM(Atlantic!P39,Bergen!P39,Burlington!P39,Camden!P39,'Cape May'!P39,Cumberland!P39,Essex!P39,Gloucester!P39,Hudson!P39,Hunterdon!P39,Mercer!P39,Middlesex!P39,Monmouth!P39,Morris!P39,Ocean!P39,Passaic!P39,Salem!P39,Somerset!P39,Sussex!P39,Union!P39,Warren!P39)</f>
        <v>0</v>
      </c>
      <c r="Q42" s="16">
        <f>IF($B$4=$X$19,M42*'Technology Assumptions'!B$34,IF('Bioenergy Calculator'!$B$4='Bioenergy Calculator'!$X$21,M42*'Technology Assumptions'!B$34,IF('Bioenergy Calculator'!$B$4='Bioenergy Calculator'!$X$20,'Bioenergy Calculator'!M42*'Technology Assumptions'!B$36,IF('Bioenergy Calculator'!$B$4='Bioenergy Calculator'!$X$23,'Bioenergy Calculator'!M42*'Technology Assumptions'!B$35,IF('Bioenergy Calculator'!$B$4='Bioenergy Calculator'!$X$22,'Bioenergy Calculator'!M42*'Technology Assumptions'!B$37,'Bioenergy Calculator'!M42)))))</f>
        <v>0</v>
      </c>
      <c r="R42" s="16">
        <f>IF($B$4=$X$19,N42*'Technology Assumptions'!C$34,IF('Bioenergy Calculator'!$B$4='Bioenergy Calculator'!$X$21,N42*'Technology Assumptions'!C$34,IF('Bioenergy Calculator'!$B$4='Bioenergy Calculator'!$X$20,'Bioenergy Calculator'!N42*'Technology Assumptions'!C$36,IF('Bioenergy Calculator'!$B$4='Bioenergy Calculator'!$X$23,'Bioenergy Calculator'!N42*'Technology Assumptions'!C$35,IF('Bioenergy Calculator'!$B$4='Bioenergy Calculator'!$X$22,'Bioenergy Calculator'!N42*'Technology Assumptions'!C$37,'Bioenergy Calculator'!N42)))))</f>
        <v>0</v>
      </c>
      <c r="S42" s="16">
        <f>IF($B$4=$X$19,O42*'Technology Assumptions'!D$34,IF('Bioenergy Calculator'!$B$4='Bioenergy Calculator'!$X$21,O42*'Technology Assumptions'!D$34,IF('Bioenergy Calculator'!$B$4='Bioenergy Calculator'!$X$20,'Bioenergy Calculator'!O42*'Technology Assumptions'!D$36,IF('Bioenergy Calculator'!$B$4='Bioenergy Calculator'!$X$23,'Bioenergy Calculator'!O42*'Technology Assumptions'!D$35,IF('Bioenergy Calculator'!$B$4='Bioenergy Calculator'!$X$22,'Bioenergy Calculator'!O42*'Technology Assumptions'!D$37,'Bioenergy Calculator'!O42)))))</f>
        <v>0</v>
      </c>
      <c r="T42" s="16">
        <f>IF($B$4=$X$19,P42*'Technology Assumptions'!E$34,IF('Bioenergy Calculator'!$B$4='Bioenergy Calculator'!$X$21,P42*'Technology Assumptions'!E$34,IF('Bioenergy Calculator'!$B$4='Bioenergy Calculator'!$X$20,'Bioenergy Calculator'!P42*'Technology Assumptions'!E$36,IF('Bioenergy Calculator'!$B$4='Bioenergy Calculator'!$X$23,'Bioenergy Calculator'!P42*'Technology Assumptions'!E$35,IF('Bioenergy Calculator'!$B$4='Bioenergy Calculator'!$X$22,'Bioenergy Calculator'!P42*'Technology Assumptions'!E$37,'Bioenergy Calculator'!P42)))))</f>
        <v>0</v>
      </c>
    </row>
    <row r="43" spans="1:21" x14ac:dyDescent="0.25">
      <c r="A43" s="1065"/>
      <c r="B43" s="17" t="s">
        <v>556</v>
      </c>
      <c r="C43" s="294">
        <f>SUM(Atlantic!C40,Bergen!C40,Burlington!C40,Camden!C40,'Cape May'!C40,Cumberland!C40,Essex!C40,Gloucester!C40,Hudson!C40,Hunterdon!C40,Mercer!C40,Middlesex!C40,Monmouth!C40,Morris!C40,Ocean!C40,Passaic!C40,Salem!C40,Somerset!C40,Sussex!C40,Union!C40,Warren!C40)</f>
        <v>174898.71000000002</v>
      </c>
      <c r="D43" s="294">
        <f>E43*'Conversion Tables'!C37</f>
        <v>0</v>
      </c>
      <c r="E43" s="294">
        <f>SUM(Atlantic!E40,Bergen!E40,Burlington!E40,Camden!E40,'Cape May'!E40,Cumberland!E40,Essex!E40,Gloucester!E40,Hudson!E40,Hunterdon!E40,Mercer!E40,Middlesex!E40,Monmouth!E40,Morris!E40,Ocean!E40,Passaic!E40,Salem!E40,Somerset!E40,Sussex!E40,Union!E40,Warren!E40)</f>
        <v>0</v>
      </c>
      <c r="F43" s="294">
        <f>SUM(Atlantic!F40,Bergen!F40,Burlington!F40,Camden!F40,'Cape May'!F40,Cumberland!F40,Essex!F40,Gloucester!F40,Hudson!F40,Hunterdon!F40,Mercer!F40,Middlesex!F40,Monmouth!F40,Morris!F40,Ocean!F40,Passaic!F40,Salem!F40,Somerset!F40,Sussex!F40,Union!F40,Warren!F40)</f>
        <v>0</v>
      </c>
      <c r="G43" s="294">
        <f>SUM(Atlantic!G40,Bergen!G40,Burlington!G40,Camden!G40,'Cape May'!G40,Cumberland!G40,Essex!G40,Gloucester!G40,Hudson!G40,Hunterdon!G40,Mercer!G40,Middlesex!G40,Monmouth!G40,Morris!G40,Ocean!G40,Passaic!G40,Salem!G40,Somerset!G40,Sussex!G40,Union!G40,Warren!G40)</f>
        <v>0</v>
      </c>
      <c r="H43" s="294">
        <f>SUM(Atlantic!H40,Bergen!H40,Burlington!H40,Camden!H40,'Cape May'!H40,Cumberland!H40,Essex!H40,Gloucester!H40,Hudson!H40,Hunterdon!H40,Mercer!H40,Middlesex!H40,Monmouth!H40,Morris!H40,Ocean!H40,Passaic!H40,Salem!H40,Somerset!H40,Sussex!H40,Union!H40,Warren!H40)</f>
        <v>0</v>
      </c>
      <c r="I43" s="16">
        <f>SUM(Atlantic!I40,Bergen!I40,Burlington!I40,Camden!I40,'Cape May'!I40,Cumberland!I40,Essex!I40,Gloucester!I40,Hudson!I40,Hunterdon!I40,Mercer!I40,Middlesex!I40,Monmouth!I40,Morris!I40,Ocean!I40,Passaic!I40,Salem!I40,Somerset!I40,Sussex!I40,Union!I40,Warren!I40)</f>
        <v>0</v>
      </c>
      <c r="J43" s="16">
        <f>SUM(Atlantic!J40,Bergen!J40,Burlington!J40,Camden!J40,'Cape May'!J40,Cumberland!J40,Essex!J40,Gloucester!J40,Hudson!J40,Hunterdon!J40,Mercer!J40,Middlesex!J40,Monmouth!J40,Morris!J40,Ocean!J40,Passaic!J40,Salem!J40,Somerset!J40,Sussex!J40,Union!J40,Warren!J40)</f>
        <v>0</v>
      </c>
      <c r="K43" s="16">
        <f>SUM(Atlantic!K40,Bergen!K40,Burlington!K40,Camden!K40,'Cape May'!K40,Cumberland!K40,Essex!K40,Gloucester!K40,Hudson!K40,Hunterdon!K40,Mercer!K40,Middlesex!K40,Monmouth!K40,Morris!K40,Ocean!K40,Passaic!K40,Salem!K40,Somerset!K40,Sussex!K40,Union!K40,Warren!K40)</f>
        <v>0</v>
      </c>
      <c r="L43" s="16">
        <f>SUM(Atlantic!L40,Bergen!L40,Burlington!L40,Camden!L40,'Cape May'!L40,Cumberland!L40,Essex!L40,Gloucester!L40,Hudson!L40,Hunterdon!L40,Mercer!L40,Middlesex!L40,Monmouth!L40,Morris!L40,Ocean!L40,Passaic!L40,Salem!L40,Somerset!L40,Sussex!L40,Union!L40,Warren!L40)</f>
        <v>0</v>
      </c>
      <c r="M43" s="354">
        <f>SUM(Atlantic!M40,Bergen!M40,Burlington!M40,Camden!M40,'Cape May'!M40,Cumberland!M40,Essex!M40,Gloucester!M40,Hudson!M40,Hunterdon!M40,Mercer!M40,Middlesex!M40,Monmouth!M40,Morris!M40,Ocean!M40,Passaic!M40,Salem!M40,Somerset!M40,Sussex!M40,Union!M40,Warren!M40)</f>
        <v>0</v>
      </c>
      <c r="N43" s="16">
        <f>SUM(Atlantic!N40,Bergen!N40,Burlington!N40,Camden!N40,'Cape May'!N40,Cumberland!N40,Essex!N40,Gloucester!N40,Hudson!N40,Hunterdon!N40,Mercer!N40,Middlesex!N40,Monmouth!N40,Morris!N40,Ocean!N40,Passaic!N40,Salem!N40,Somerset!N40,Sussex!N40,Union!N40,Warren!N40)</f>
        <v>0</v>
      </c>
      <c r="O43" s="16">
        <f>SUM(Atlantic!O40,Bergen!O40,Burlington!O40,Camden!O40,'Cape May'!O40,Cumberland!O40,Essex!O40,Gloucester!O40,Hudson!O40,Hunterdon!O40,Mercer!O40,Middlesex!O40,Monmouth!O40,Morris!O40,Ocean!O40,Passaic!O40,Salem!O40,Somerset!O40,Sussex!O40,Union!O40,Warren!O40)</f>
        <v>0</v>
      </c>
      <c r="P43" s="16">
        <f>SUM(Atlantic!P40,Bergen!P40,Burlington!P40,Camden!P40,'Cape May'!P40,Cumberland!P40,Essex!P40,Gloucester!P40,Hudson!P40,Hunterdon!P40,Mercer!P40,Middlesex!P40,Monmouth!P40,Morris!P40,Ocean!P40,Passaic!P40,Salem!P40,Somerset!P40,Sussex!P40,Union!P40,Warren!P40)</f>
        <v>0</v>
      </c>
      <c r="Q43" s="16">
        <f>IF($B$4=$X$19,M43*'Technology Assumptions'!B$34,IF('Bioenergy Calculator'!$B$4='Bioenergy Calculator'!$X$21,M43*'Technology Assumptions'!B$34,IF('Bioenergy Calculator'!$B$4='Bioenergy Calculator'!$X$20,'Bioenergy Calculator'!M43*'Technology Assumptions'!B$36,IF('Bioenergy Calculator'!$B$4='Bioenergy Calculator'!$X$23,'Bioenergy Calculator'!M43*'Technology Assumptions'!B$35,IF('Bioenergy Calculator'!$B$4='Bioenergy Calculator'!$X$22,'Bioenergy Calculator'!M43*'Technology Assumptions'!B$37,'Bioenergy Calculator'!M43)))))</f>
        <v>0</v>
      </c>
      <c r="R43" s="16">
        <f>IF($B$4=$X$19,N43*'Technology Assumptions'!C$34,IF('Bioenergy Calculator'!$B$4='Bioenergy Calculator'!$X$21,N43*'Technology Assumptions'!C$34,IF('Bioenergy Calculator'!$B$4='Bioenergy Calculator'!$X$20,'Bioenergy Calculator'!N43*'Technology Assumptions'!C$36,IF('Bioenergy Calculator'!$B$4='Bioenergy Calculator'!$X$23,'Bioenergy Calculator'!N43*'Technology Assumptions'!C$35,IF('Bioenergy Calculator'!$B$4='Bioenergy Calculator'!$X$22,'Bioenergy Calculator'!N43*'Technology Assumptions'!C$37,'Bioenergy Calculator'!N43)))))</f>
        <v>0</v>
      </c>
      <c r="S43" s="16">
        <f>IF($B$4=$X$19,O43*'Technology Assumptions'!D$34,IF('Bioenergy Calculator'!$B$4='Bioenergy Calculator'!$X$21,O43*'Technology Assumptions'!D$34,IF('Bioenergy Calculator'!$B$4='Bioenergy Calculator'!$X$20,'Bioenergy Calculator'!O43*'Technology Assumptions'!D$36,IF('Bioenergy Calculator'!$B$4='Bioenergy Calculator'!$X$23,'Bioenergy Calculator'!O43*'Technology Assumptions'!D$35,IF('Bioenergy Calculator'!$B$4='Bioenergy Calculator'!$X$22,'Bioenergy Calculator'!O43*'Technology Assumptions'!D$37,'Bioenergy Calculator'!O43)))))</f>
        <v>0</v>
      </c>
      <c r="T43" s="16">
        <f>IF($B$4=$X$19,P43*'Technology Assumptions'!E$34,IF('Bioenergy Calculator'!$B$4='Bioenergy Calculator'!$X$21,P43*'Technology Assumptions'!E$34,IF('Bioenergy Calculator'!$B$4='Bioenergy Calculator'!$X$20,'Bioenergy Calculator'!P43*'Technology Assumptions'!E$36,IF('Bioenergy Calculator'!$B$4='Bioenergy Calculator'!$X$23,'Bioenergy Calculator'!P43*'Technology Assumptions'!E$35,IF('Bioenergy Calculator'!$B$4='Bioenergy Calculator'!$X$22,'Bioenergy Calculator'!P43*'Technology Assumptions'!E$37,'Bioenergy Calculator'!P43)))))</f>
        <v>0</v>
      </c>
    </row>
    <row r="44" spans="1:21" x14ac:dyDescent="0.25">
      <c r="A44" s="1065"/>
      <c r="B44" s="17" t="s">
        <v>557</v>
      </c>
      <c r="C44" s="294">
        <f>SUM(Atlantic!C41,Bergen!C41,Burlington!C41,Camden!C41,'Cape May'!C41,Cumberland!C41,Essex!C41,Gloucester!C41,Hudson!C41,Hunterdon!C41,Mercer!C41,Middlesex!C41,Monmouth!C41,Morris!C41,Ocean!C41,Passaic!C41,Salem!C41,Somerset!C41,Sussex!C41,Union!C41,Warren!C41)</f>
        <v>269912.304</v>
      </c>
      <c r="D44" s="294">
        <f>E44*'Conversion Tables'!C38</f>
        <v>0</v>
      </c>
      <c r="E44" s="294">
        <f>SUM(Atlantic!E41,Bergen!E41,Burlington!E41,Camden!E41,'Cape May'!E41,Cumberland!E41,Essex!E41,Gloucester!E41,Hudson!E41,Hunterdon!E41,Mercer!E41,Middlesex!E41,Monmouth!E41,Morris!E41,Ocean!E41,Passaic!E41,Salem!E41,Somerset!E41,Sussex!E41,Union!E41,Warren!E41)</f>
        <v>0</v>
      </c>
      <c r="F44" s="294">
        <f>SUM(Atlantic!F41,Bergen!F41,Burlington!F41,Camden!F41,'Cape May'!F41,Cumberland!F41,Essex!F41,Gloucester!F41,Hudson!F41,Hunterdon!F41,Mercer!F41,Middlesex!F41,Monmouth!F41,Morris!F41,Ocean!F41,Passaic!F41,Salem!F41,Somerset!F41,Sussex!F41,Union!F41,Warren!F41)</f>
        <v>0</v>
      </c>
      <c r="G44" s="294">
        <f>SUM(Atlantic!G41,Bergen!G41,Burlington!G41,Camden!G41,'Cape May'!G41,Cumberland!G41,Essex!G41,Gloucester!G41,Hudson!G41,Hunterdon!G41,Mercer!G41,Middlesex!G41,Monmouth!G41,Morris!G41,Ocean!G41,Passaic!G41,Salem!G41,Somerset!G41,Sussex!G41,Union!G41,Warren!G41)</f>
        <v>0</v>
      </c>
      <c r="H44" s="294">
        <f>SUM(Atlantic!H41,Bergen!H41,Burlington!H41,Camden!H41,'Cape May'!H41,Cumberland!H41,Essex!H41,Gloucester!H41,Hudson!H41,Hunterdon!H41,Mercer!H41,Middlesex!H41,Monmouth!H41,Morris!H41,Ocean!H41,Passaic!H41,Salem!H41,Somerset!H41,Sussex!H41,Union!H41,Warren!H41)</f>
        <v>0</v>
      </c>
      <c r="I44" s="16">
        <f>SUM(Atlantic!I41,Bergen!I41,Burlington!I41,Camden!I41,'Cape May'!I41,Cumberland!I41,Essex!I41,Gloucester!I41,Hudson!I41,Hunterdon!I41,Mercer!I41,Middlesex!I41,Monmouth!I41,Morris!I41,Ocean!I41,Passaic!I41,Salem!I41,Somerset!I41,Sussex!I41,Union!I41,Warren!I41)</f>
        <v>0</v>
      </c>
      <c r="J44" s="16">
        <f>SUM(Atlantic!J41,Bergen!J41,Burlington!J41,Camden!J41,'Cape May'!J41,Cumberland!J41,Essex!J41,Gloucester!J41,Hudson!J41,Hunterdon!J41,Mercer!J41,Middlesex!J41,Monmouth!J41,Morris!J41,Ocean!J41,Passaic!J41,Salem!J41,Somerset!J41,Sussex!J41,Union!J41,Warren!J41)</f>
        <v>0</v>
      </c>
      <c r="K44" s="16">
        <f>SUM(Atlantic!K41,Bergen!K41,Burlington!K41,Camden!K41,'Cape May'!K41,Cumberland!K41,Essex!K41,Gloucester!K41,Hudson!K41,Hunterdon!K41,Mercer!K41,Middlesex!K41,Monmouth!K41,Morris!K41,Ocean!K41,Passaic!K41,Salem!K41,Somerset!K41,Sussex!K41,Union!K41,Warren!K41)</f>
        <v>0</v>
      </c>
      <c r="L44" s="16">
        <f>SUM(Atlantic!L41,Bergen!L41,Burlington!L41,Camden!L41,'Cape May'!L41,Cumberland!L41,Essex!L41,Gloucester!L41,Hudson!L41,Hunterdon!L41,Mercer!L41,Middlesex!L41,Monmouth!L41,Morris!L41,Ocean!L41,Passaic!L41,Salem!L41,Somerset!L41,Sussex!L41,Union!L41,Warren!L41)</f>
        <v>0</v>
      </c>
      <c r="M44" s="354">
        <f>SUM(Atlantic!M41,Bergen!M41,Burlington!M41,Camden!M41,'Cape May'!M41,Cumberland!M41,Essex!M41,Gloucester!M41,Hudson!M41,Hunterdon!M41,Mercer!M41,Middlesex!M41,Monmouth!M41,Morris!M41,Ocean!M41,Passaic!M41,Salem!M41,Somerset!M41,Sussex!M41,Union!M41,Warren!M41)</f>
        <v>0</v>
      </c>
      <c r="N44" s="16">
        <f>SUM(Atlantic!N41,Bergen!N41,Burlington!N41,Camden!N41,'Cape May'!N41,Cumberland!N41,Essex!N41,Gloucester!N41,Hudson!N41,Hunterdon!N41,Mercer!N41,Middlesex!N41,Monmouth!N41,Morris!N41,Ocean!N41,Passaic!N41,Salem!N41,Somerset!N41,Sussex!N41,Union!N41,Warren!N41)</f>
        <v>0</v>
      </c>
      <c r="O44" s="16">
        <f>SUM(Atlantic!O41,Bergen!O41,Burlington!O41,Camden!O41,'Cape May'!O41,Cumberland!O41,Essex!O41,Gloucester!O41,Hudson!O41,Hunterdon!O41,Mercer!O41,Middlesex!O41,Monmouth!O41,Morris!O41,Ocean!O41,Passaic!O41,Salem!O41,Somerset!O41,Sussex!O41,Union!O41,Warren!O41)</f>
        <v>0</v>
      </c>
      <c r="P44" s="16">
        <f>SUM(Atlantic!P41,Bergen!P41,Burlington!P41,Camden!P41,'Cape May'!P41,Cumberland!P41,Essex!P41,Gloucester!P41,Hudson!P41,Hunterdon!P41,Mercer!P41,Middlesex!P41,Monmouth!P41,Morris!P41,Ocean!P41,Passaic!P41,Salem!P41,Somerset!P41,Sussex!P41,Union!P41,Warren!P41)</f>
        <v>0</v>
      </c>
      <c r="Q44" s="16">
        <f>IF($B$4=$X$19,M44*'Technology Assumptions'!B$34,IF('Bioenergy Calculator'!$B$4='Bioenergy Calculator'!$X$21,M44*'Technology Assumptions'!B$34,IF('Bioenergy Calculator'!$B$4='Bioenergy Calculator'!$X$20,'Bioenergy Calculator'!M44*'Technology Assumptions'!B$36,IF('Bioenergy Calculator'!$B$4='Bioenergy Calculator'!$X$23,'Bioenergy Calculator'!M44*'Technology Assumptions'!B$35,IF('Bioenergy Calculator'!$B$4='Bioenergy Calculator'!$X$22,'Bioenergy Calculator'!M44*'Technology Assumptions'!B$37,'Bioenergy Calculator'!M44)))))</f>
        <v>0</v>
      </c>
      <c r="R44" s="16">
        <f>IF($B$4=$X$19,N44*'Technology Assumptions'!C$34,IF('Bioenergy Calculator'!$B$4='Bioenergy Calculator'!$X$21,N44*'Technology Assumptions'!C$34,IF('Bioenergy Calculator'!$B$4='Bioenergy Calculator'!$X$20,'Bioenergy Calculator'!N44*'Technology Assumptions'!C$36,IF('Bioenergy Calculator'!$B$4='Bioenergy Calculator'!$X$23,'Bioenergy Calculator'!N44*'Technology Assumptions'!C$35,IF('Bioenergy Calculator'!$B$4='Bioenergy Calculator'!$X$22,'Bioenergy Calculator'!N44*'Technology Assumptions'!C$37,'Bioenergy Calculator'!N44)))))</f>
        <v>0</v>
      </c>
      <c r="S44" s="16">
        <f>IF($B$4=$X$19,O44*'Technology Assumptions'!D$34,IF('Bioenergy Calculator'!$B$4='Bioenergy Calculator'!$X$21,O44*'Technology Assumptions'!D$34,IF('Bioenergy Calculator'!$B$4='Bioenergy Calculator'!$X$20,'Bioenergy Calculator'!O44*'Technology Assumptions'!D$36,IF('Bioenergy Calculator'!$B$4='Bioenergy Calculator'!$X$23,'Bioenergy Calculator'!O44*'Technology Assumptions'!D$35,IF('Bioenergy Calculator'!$B$4='Bioenergy Calculator'!$X$22,'Bioenergy Calculator'!O44*'Technology Assumptions'!D$37,'Bioenergy Calculator'!O44)))))</f>
        <v>0</v>
      </c>
      <c r="T44" s="16">
        <f>IF($B$4=$X$19,P44*'Technology Assumptions'!E$34,IF('Bioenergy Calculator'!$B$4='Bioenergy Calculator'!$X$21,P44*'Technology Assumptions'!E$34,IF('Bioenergy Calculator'!$B$4='Bioenergy Calculator'!$X$20,'Bioenergy Calculator'!P44*'Technology Assumptions'!E$36,IF('Bioenergy Calculator'!$B$4='Bioenergy Calculator'!$X$23,'Bioenergy Calculator'!P44*'Technology Assumptions'!E$35,IF('Bioenergy Calculator'!$B$4='Bioenergy Calculator'!$X$22,'Bioenergy Calculator'!P44*'Technology Assumptions'!E$37,'Bioenergy Calculator'!P44)))))</f>
        <v>0</v>
      </c>
    </row>
    <row r="45" spans="1:21" x14ac:dyDescent="0.25">
      <c r="A45" s="1065"/>
      <c r="B45" s="17" t="s">
        <v>558</v>
      </c>
      <c r="C45" s="294">
        <f>SUM(Atlantic!C42,Bergen!C42,Burlington!C42,Camden!C42,'Cape May'!C42,Cumberland!C42,Essex!C42,Gloucester!C42,Hudson!C42,Hunterdon!C42,Mercer!C42,Middlesex!C42,Monmouth!C42,Morris!C42,Ocean!C42,Passaic!C42,Salem!C42,Somerset!C42,Sussex!C42,Union!C42,Warren!C42)</f>
        <v>147228.67800000004</v>
      </c>
      <c r="D45" s="294">
        <f>E45*'Conversion Tables'!C39</f>
        <v>2138054.8619160005</v>
      </c>
      <c r="E45" s="294">
        <f>SUM(Atlantic!E42,Bergen!E42,Burlington!E42,Camden!E42,'Cape May'!E42,Cumberland!E42,Essex!E42,Gloucester!E42,Hudson!E42,Hunterdon!E42,Mercer!E42,Middlesex!E42,Monmouth!E42,Morris!E42,Ocean!E42,Passaic!E42,Salem!E42,Somerset!E42,Sussex!E42,Union!E42,Warren!E42)</f>
        <v>147228.67800000004</v>
      </c>
      <c r="F45" s="294">
        <f>SUM(Atlantic!F42,Bergen!F42,Burlington!F42,Camden!F42,'Cape May'!F42,Cumberland!F42,Essex!F42,Gloucester!F42,Hudson!F42,Hunterdon!F42,Mercer!F42,Middlesex!F42,Monmouth!F42,Morris!F42,Ocean!F42,Passaic!F42,Salem!F42,Somerset!F42,Sussex!F42,Union!F42,Warren!F42)</f>
        <v>163600.93623804822</v>
      </c>
      <c r="G45" s="294">
        <f>SUM(Atlantic!G42,Bergen!G42,Burlington!G42,Camden!G42,'Cape May'!G42,Cumberland!G42,Essex!G42,Gloucester!G42,Hudson!G42,Hunterdon!G42,Mercer!G42,Middlesex!G42,Monmouth!G42,Morris!G42,Ocean!G42,Passaic!G42,Salem!G42,Somerset!G42,Sussex!G42,Union!G42,Warren!G42)</f>
        <v>182715.06058352647</v>
      </c>
      <c r="H45" s="294">
        <f>SUM(Atlantic!H42,Bergen!H42,Burlington!H42,Camden!H42,'Cape May'!H42,Cumberland!H42,Essex!H42,Gloucester!H42,Hudson!H42,Hunterdon!H42,Mercer!H42,Middlesex!H42,Monmouth!H42,Morris!H42,Ocean!H42,Passaic!H42,Salem!H42,Somerset!H42,Sussex!H42,Union!H42,Warren!H42)</f>
        <v>203445.75691804651</v>
      </c>
      <c r="I45" s="16">
        <f>SUM(Atlantic!I42,Bergen!I42,Burlington!I42,Camden!I42,'Cape May'!I42,Cumberland!I42,Essex!I42,Gloucester!I42,Hudson!I42,Hunterdon!I42,Mercer!I42,Middlesex!I42,Monmouth!I42,Morris!I42,Ocean!I42,Passaic!I42,Salem!I42,Somerset!I42,Sussex!I42,Union!I42,Warren!I42)</f>
        <v>0</v>
      </c>
      <c r="J45" s="16">
        <f>SUM(Atlantic!J42,Bergen!J42,Burlington!J42,Camden!J42,'Cape May'!J42,Cumberland!J42,Essex!J42,Gloucester!J42,Hudson!J42,Hunterdon!J42,Mercer!J42,Middlesex!J42,Monmouth!J42,Morris!J42,Ocean!J42,Passaic!J42,Salem!J42,Somerset!J42,Sussex!J42,Union!J42,Warren!J42)</f>
        <v>0</v>
      </c>
      <c r="K45" s="16">
        <f>SUM(Atlantic!K42,Bergen!K42,Burlington!K42,Camden!K42,'Cape May'!K42,Cumberland!K42,Essex!K42,Gloucester!K42,Hudson!K42,Hunterdon!K42,Mercer!K42,Middlesex!K42,Monmouth!K42,Morris!K42,Ocean!K42,Passaic!K42,Salem!K42,Somerset!K42,Sussex!K42,Union!K42,Warren!K42)</f>
        <v>0</v>
      </c>
      <c r="L45" s="16">
        <f>SUM(Atlantic!L42,Bergen!L42,Burlington!L42,Camden!L42,'Cape May'!L42,Cumberland!L42,Essex!L42,Gloucester!L42,Hudson!L42,Hunterdon!L42,Mercer!L42,Middlesex!L42,Monmouth!L42,Morris!L42,Ocean!L42,Passaic!L42,Salem!L42,Somerset!L42,Sussex!L42,Union!L42,Warren!L42)</f>
        <v>0</v>
      </c>
      <c r="M45" s="354">
        <f>SUM(Atlantic!M42,Bergen!M42,Burlington!M42,Camden!M42,'Cape May'!M42,Cumberland!M42,Essex!M42,Gloucester!M42,Hudson!M42,Hunterdon!M42,Mercer!M42,Middlesex!M42,Monmouth!M42,Morris!M42,Ocean!M42,Passaic!M42,Salem!M42,Somerset!M42,Sussex!M42,Union!M42,Warren!M42)</f>
        <v>0</v>
      </c>
      <c r="N45" s="16">
        <f>SUM(Atlantic!N42,Bergen!N42,Burlington!N42,Camden!N42,'Cape May'!N42,Cumberland!N42,Essex!N42,Gloucester!N42,Hudson!N42,Hunterdon!N42,Mercer!N42,Middlesex!N42,Monmouth!N42,Morris!N42,Ocean!N42,Passaic!N42,Salem!N42,Somerset!N42,Sussex!N42,Union!N42,Warren!N42)</f>
        <v>0</v>
      </c>
      <c r="O45" s="16">
        <f>SUM(Atlantic!O42,Bergen!O42,Burlington!O42,Camden!O42,'Cape May'!O42,Cumberland!O42,Essex!O42,Gloucester!O42,Hudson!O42,Hunterdon!O42,Mercer!O42,Middlesex!O42,Monmouth!O42,Morris!O42,Ocean!O42,Passaic!O42,Salem!O42,Somerset!O42,Sussex!O42,Union!O42,Warren!O42)</f>
        <v>0</v>
      </c>
      <c r="P45" s="16">
        <f>SUM(Atlantic!P42,Bergen!P42,Burlington!P42,Camden!P42,'Cape May'!P42,Cumberland!P42,Essex!P42,Gloucester!P42,Hudson!P42,Hunterdon!P42,Mercer!P42,Middlesex!P42,Monmouth!P42,Morris!P42,Ocean!P42,Passaic!P42,Salem!P42,Somerset!P42,Sussex!P42,Union!P42,Warren!P42)</f>
        <v>0</v>
      </c>
      <c r="Q45" s="16">
        <f>IF($B$4=$X$19,M45*'Technology Assumptions'!B$34,IF('Bioenergy Calculator'!$B$4='Bioenergy Calculator'!$X$21,M45*'Technology Assumptions'!B$34,IF('Bioenergy Calculator'!$B$4='Bioenergy Calculator'!$X$20,'Bioenergy Calculator'!M45*'Technology Assumptions'!B$36,IF('Bioenergy Calculator'!$B$4='Bioenergy Calculator'!$X$23,'Bioenergy Calculator'!M45*'Technology Assumptions'!B$35,IF('Bioenergy Calculator'!$B$4='Bioenergy Calculator'!$X$22,'Bioenergy Calculator'!M45*'Technology Assumptions'!B$37,'Bioenergy Calculator'!M45)))))</f>
        <v>0</v>
      </c>
      <c r="R45" s="16">
        <f>IF($B$4=$X$19,N45*'Technology Assumptions'!C$34,IF('Bioenergy Calculator'!$B$4='Bioenergy Calculator'!$X$21,N45*'Technology Assumptions'!C$34,IF('Bioenergy Calculator'!$B$4='Bioenergy Calculator'!$X$20,'Bioenergy Calculator'!N45*'Technology Assumptions'!C$36,IF('Bioenergy Calculator'!$B$4='Bioenergy Calculator'!$X$23,'Bioenergy Calculator'!N45*'Technology Assumptions'!C$35,IF('Bioenergy Calculator'!$B$4='Bioenergy Calculator'!$X$22,'Bioenergy Calculator'!N45*'Technology Assumptions'!C$37,'Bioenergy Calculator'!N45)))))</f>
        <v>0</v>
      </c>
      <c r="S45" s="16">
        <f>IF($B$4=$X$19,O45*'Technology Assumptions'!D$34,IF('Bioenergy Calculator'!$B$4='Bioenergy Calculator'!$X$21,O45*'Technology Assumptions'!D$34,IF('Bioenergy Calculator'!$B$4='Bioenergy Calculator'!$X$20,'Bioenergy Calculator'!O45*'Technology Assumptions'!D$36,IF('Bioenergy Calculator'!$B$4='Bioenergy Calculator'!$X$23,'Bioenergy Calculator'!O45*'Technology Assumptions'!D$35,IF('Bioenergy Calculator'!$B$4='Bioenergy Calculator'!$X$22,'Bioenergy Calculator'!O45*'Technology Assumptions'!D$37,'Bioenergy Calculator'!O45)))))</f>
        <v>0</v>
      </c>
      <c r="T45" s="16">
        <f>IF($B$4=$X$19,P45*'Technology Assumptions'!E$34,IF('Bioenergy Calculator'!$B$4='Bioenergy Calculator'!$X$21,P45*'Technology Assumptions'!E$34,IF('Bioenergy Calculator'!$B$4='Bioenergy Calculator'!$X$20,'Bioenergy Calculator'!P45*'Technology Assumptions'!E$36,IF('Bioenergy Calculator'!$B$4='Bioenergy Calculator'!$X$23,'Bioenergy Calculator'!P45*'Technology Assumptions'!E$35,IF('Bioenergy Calculator'!$B$4='Bioenergy Calculator'!$X$22,'Bioenergy Calculator'!P45*'Technology Assumptions'!E$37,'Bioenergy Calculator'!P45)))))</f>
        <v>0</v>
      </c>
    </row>
    <row r="46" spans="1:21" x14ac:dyDescent="0.25">
      <c r="A46" s="1065"/>
      <c r="B46" s="9" t="s">
        <v>524</v>
      </c>
      <c r="C46" s="295">
        <f t="shared" ref="C46:T46" si="2">SUM(C34:C45)</f>
        <v>3701663.9746183003</v>
      </c>
      <c r="D46" s="295">
        <f t="shared" si="2"/>
        <v>28343934.504187416</v>
      </c>
      <c r="E46" s="295">
        <f t="shared" si="2"/>
        <v>1836076.8071853803</v>
      </c>
      <c r="F46" s="295">
        <f t="shared" si="2"/>
        <v>1912701.8717785412</v>
      </c>
      <c r="G46" s="295">
        <f t="shared" si="2"/>
        <v>2007503.7830525094</v>
      </c>
      <c r="H46" s="295">
        <f t="shared" si="2"/>
        <v>2101590.0770855108</v>
      </c>
      <c r="I46" s="19">
        <f t="shared" si="2"/>
        <v>0</v>
      </c>
      <c r="J46" s="19">
        <f t="shared" si="2"/>
        <v>0</v>
      </c>
      <c r="K46" s="19">
        <f t="shared" si="2"/>
        <v>0</v>
      </c>
      <c r="L46" s="19">
        <f t="shared" si="2"/>
        <v>0</v>
      </c>
      <c r="M46" s="355">
        <f t="shared" si="2"/>
        <v>0</v>
      </c>
      <c r="N46" s="19">
        <f t="shared" si="2"/>
        <v>0</v>
      </c>
      <c r="O46" s="19">
        <f t="shared" si="2"/>
        <v>0</v>
      </c>
      <c r="P46" s="19">
        <f t="shared" si="2"/>
        <v>0</v>
      </c>
      <c r="Q46" s="19">
        <f>SUM(Q34:Q45)</f>
        <v>0</v>
      </c>
      <c r="R46" s="19">
        <f t="shared" si="2"/>
        <v>0</v>
      </c>
      <c r="S46" s="19">
        <f t="shared" si="2"/>
        <v>0</v>
      </c>
      <c r="T46" s="19">
        <f t="shared" si="2"/>
        <v>0</v>
      </c>
    </row>
    <row r="47" spans="1:21" x14ac:dyDescent="0.25">
      <c r="A47" s="8"/>
      <c r="B47" s="5"/>
      <c r="C47" s="296"/>
      <c r="D47" s="296"/>
      <c r="E47" s="296"/>
      <c r="F47" s="296"/>
      <c r="G47" s="296"/>
      <c r="H47" s="296"/>
      <c r="I47" s="28"/>
      <c r="J47" s="28"/>
      <c r="K47" s="28"/>
      <c r="L47" s="28"/>
      <c r="M47" s="28"/>
      <c r="N47" s="28"/>
      <c r="O47" s="28"/>
      <c r="P47" s="28"/>
      <c r="Q47" s="28"/>
      <c r="R47" s="28"/>
      <c r="S47" s="28"/>
      <c r="T47" s="28"/>
    </row>
    <row r="48" spans="1:21" x14ac:dyDescent="0.25">
      <c r="A48" s="1064" t="s">
        <v>515</v>
      </c>
      <c r="B48" s="2" t="s">
        <v>510</v>
      </c>
      <c r="C48" s="294"/>
      <c r="D48" s="294"/>
      <c r="E48" s="294"/>
      <c r="F48" s="294"/>
      <c r="G48" s="294"/>
      <c r="H48" s="294"/>
      <c r="I48" s="16"/>
      <c r="J48" s="16"/>
      <c r="K48" s="16"/>
      <c r="L48" s="16"/>
      <c r="M48" s="16"/>
      <c r="N48" s="16"/>
      <c r="O48" s="16"/>
      <c r="P48" s="16"/>
      <c r="Q48" s="16"/>
      <c r="R48" s="16"/>
      <c r="S48" s="16"/>
      <c r="T48" s="16"/>
    </row>
    <row r="49" spans="1:20" x14ac:dyDescent="0.25">
      <c r="A49" s="1064"/>
      <c r="B49" s="12" t="s">
        <v>525</v>
      </c>
      <c r="C49" s="294">
        <f>SUM(Atlantic!C46,Bergen!C46,Burlington!C46,Camden!C46,'Cape May'!C46,Cumberland!C46,Essex!C46,Gloucester!C46,Hudson!C46,Hunterdon!C46,Mercer!C46,Middlesex!C46,Monmouth!C46,Morris!C46,Ocean!C46,Passaic!C46,Salem!C46,Somerset!C46,Sussex!C46,Union!C46,Warren!C46)</f>
        <v>78859.199999999997</v>
      </c>
      <c r="D49" s="294">
        <f>E49*'Conversion Tables'!C41</f>
        <v>0</v>
      </c>
      <c r="E49" s="294">
        <f>SUM(Atlantic!E46,Bergen!E46,Burlington!E46,Camden!E46,'Cape May'!E46,Cumberland!E46,Essex!E46,Gloucester!E46,Hudson!E46,Hunterdon!E46,Mercer!E46,Middlesex!E46,Monmouth!E46,Morris!E46,Ocean!E46,Passaic!E46,Salem!E46,Somerset!E46,Sussex!E46,Union!E46,Warren!E46)</f>
        <v>78859.199999999997</v>
      </c>
      <c r="F49" s="294">
        <f>SUM(Atlantic!F46,Bergen!F46,Burlington!F46,Camden!F46,'Cape May'!F46,Cumberland!F46,Essex!F46,Gloucester!F46,Hudson!F46,Hunterdon!F46,Mercer!F46,Middlesex!F46,Monmouth!F46,Morris!F46,Ocean!F46,Passaic!F46,Salem!F46,Somerset!F46,Sussex!F46,Union!F46,Warren!F46)</f>
        <v>78859.199999999997</v>
      </c>
      <c r="G49" s="294">
        <f>SUM(Atlantic!G46,Bergen!G46,Burlington!G46,Camden!G46,'Cape May'!G46,Cumberland!G46,Essex!G46,Gloucester!G46,Hudson!G46,Hunterdon!G46,Mercer!G46,Middlesex!G46,Monmouth!G46,Morris!G46,Ocean!G46,Passaic!G46,Salem!G46,Somerset!G46,Sussex!G46,Union!G46,Warren!G46)</f>
        <v>78859.199999999997</v>
      </c>
      <c r="H49" s="294">
        <f>SUM(Atlantic!H46,Bergen!H46,Burlington!H46,Camden!H46,'Cape May'!H46,Cumberland!H46,Essex!H46,Gloucester!H46,Hudson!H46,Hunterdon!H46,Mercer!H46,Middlesex!H46,Monmouth!H46,Morris!H46,Ocean!H46,Passaic!H46,Salem!H46,Somerset!H46,Sussex!H46,Union!H46,Warren!H46)</f>
        <v>78859.199999999997</v>
      </c>
      <c r="I49" s="16">
        <f>SUM(Atlantic!I46,Bergen!I46,Burlington!I46,Camden!I46,'Cape May'!I46,Cumberland!I46,Essex!I46,Gloucester!I46,Hudson!I46,Hunterdon!I46,Mercer!I46,Middlesex!I46,Monmouth!I46,Morris!I46,Ocean!I46,Passaic!I46,Salem!I46,Somerset!I46,Sussex!I46,Union!I46,Warren!I46)</f>
        <v>0</v>
      </c>
      <c r="J49" s="16">
        <f>SUM(Atlantic!J46,Bergen!J46,Burlington!J46,Camden!J46,'Cape May'!J46,Cumberland!J46,Essex!J46,Gloucester!J46,Hudson!J46,Hunterdon!J46,Mercer!J46,Middlesex!J46,Monmouth!J46,Morris!J46,Ocean!J46,Passaic!J46,Salem!J46,Somerset!J46,Sussex!J46,Union!J46,Warren!J46)</f>
        <v>0</v>
      </c>
      <c r="K49" s="16">
        <f>SUM(Atlantic!K46,Bergen!K46,Burlington!K46,Camden!K46,'Cape May'!K46,Cumberland!K46,Essex!K46,Gloucester!K46,Hudson!K46,Hunterdon!K46,Mercer!K46,Middlesex!K46,Monmouth!K46,Morris!K46,Ocean!K46,Passaic!K46,Salem!K46,Somerset!K46,Sussex!K46,Union!K46,Warren!K46)</f>
        <v>0</v>
      </c>
      <c r="L49" s="16">
        <f>SUM(Atlantic!L46,Bergen!L46,Burlington!L46,Camden!L46,'Cape May'!L46,Cumberland!L46,Essex!L46,Gloucester!L46,Hudson!L46,Hunterdon!L46,Mercer!L46,Middlesex!L46,Monmouth!L46,Morris!L46,Ocean!L46,Passaic!L46,Salem!L46,Somerset!L46,Sussex!L46,Union!L46,Warren!L46)</f>
        <v>0</v>
      </c>
      <c r="M49" s="16">
        <f>SUM(Atlantic!M46,Bergen!M46,Burlington!M46,Camden!M46,'Cape May'!M46,Cumberland!M46,Essex!M46,Gloucester!M46,Hudson!M46,Hunterdon!M46,Mercer!M46,Middlesex!M46,Monmouth!M46,Morris!M46,Ocean!M46,Passaic!M46,Salem!M46,Somerset!M46,Sussex!M46,Union!M46,Warren!M46)</f>
        <v>0</v>
      </c>
      <c r="N49" s="16">
        <f>SUM(Atlantic!N46,Bergen!N46,Burlington!N46,Camden!N46,'Cape May'!N46,Cumberland!N46,Essex!N46,Gloucester!N46,Hudson!N46,Hunterdon!N46,Mercer!N46,Middlesex!N46,Monmouth!N46,Morris!N46,Ocean!N46,Passaic!N46,Salem!N46,Somerset!N46,Sussex!N46,Union!N46,Warren!N46)</f>
        <v>0</v>
      </c>
      <c r="O49" s="16">
        <f>SUM(Atlantic!O46,Bergen!O46,Burlington!O46,Camden!O46,'Cape May'!O46,Cumberland!O46,Essex!O46,Gloucester!O46,Hudson!O46,Hunterdon!O46,Mercer!O46,Middlesex!O46,Monmouth!O46,Morris!O46,Ocean!O46,Passaic!O46,Salem!O46,Somerset!O46,Sussex!O46,Union!O46,Warren!O46)</f>
        <v>0</v>
      </c>
      <c r="P49" s="16">
        <f>SUM(Atlantic!P46,Bergen!P46,Burlington!P46,Camden!P46,'Cape May'!P46,Cumberland!P46,Essex!P46,Gloucester!P46,Hudson!P46,Hunterdon!P46,Mercer!P46,Middlesex!P46,Monmouth!P46,Morris!P46,Ocean!P46,Passaic!P46,Salem!P46,Somerset!P46,Sussex!P46,Union!P46,Warren!P46)</f>
        <v>0</v>
      </c>
      <c r="Q49" s="16">
        <f>IF($B$4=$X$19,M49*'Technology Assumptions'!B$34,IF('Bioenergy Calculator'!$B$4='Bioenergy Calculator'!$X$21,M49*'Technology Assumptions'!B$34,IF('Bioenergy Calculator'!$B$4='Bioenergy Calculator'!$X$20,'Bioenergy Calculator'!M49*'Technology Assumptions'!B$36,IF('Bioenergy Calculator'!$B$4='Bioenergy Calculator'!$X$23,'Bioenergy Calculator'!M49*'Technology Assumptions'!B$35,IF('Bioenergy Calculator'!$B$4='Bioenergy Calculator'!$X$22,'Bioenergy Calculator'!M49*'Technology Assumptions'!B$37,'Bioenergy Calculator'!M49)))))</f>
        <v>0</v>
      </c>
      <c r="R49" s="16">
        <f>IF($B$4=$X$19,N49*'Technology Assumptions'!C$34,IF('Bioenergy Calculator'!$B$4='Bioenergy Calculator'!$X$21,N49*'Technology Assumptions'!C$34,IF('Bioenergy Calculator'!$B$4='Bioenergy Calculator'!$X$20,'Bioenergy Calculator'!N49*'Technology Assumptions'!C$36,IF('Bioenergy Calculator'!$B$4='Bioenergy Calculator'!$X$23,'Bioenergy Calculator'!N49*'Technology Assumptions'!C$35,IF('Bioenergy Calculator'!$B$4='Bioenergy Calculator'!$X$22,'Bioenergy Calculator'!N49*'Technology Assumptions'!C$37,'Bioenergy Calculator'!N49)))))</f>
        <v>0</v>
      </c>
      <c r="S49" s="16">
        <f>IF($B$4=$X$19,O49*'Technology Assumptions'!D$34,IF('Bioenergy Calculator'!$B$4='Bioenergy Calculator'!$X$21,O49*'Technology Assumptions'!D$34,IF('Bioenergy Calculator'!$B$4='Bioenergy Calculator'!$X$20,'Bioenergy Calculator'!O49*'Technology Assumptions'!D$36,IF('Bioenergy Calculator'!$B$4='Bioenergy Calculator'!$X$23,'Bioenergy Calculator'!O49*'Technology Assumptions'!D$35,IF('Bioenergy Calculator'!$B$4='Bioenergy Calculator'!$X$22,'Bioenergy Calculator'!O49*'Technology Assumptions'!D$37,'Bioenergy Calculator'!O49)))))</f>
        <v>0</v>
      </c>
      <c r="T49" s="16">
        <f>IF($B$4=$X$19,P49*'Technology Assumptions'!E$34,IF('Bioenergy Calculator'!$B$4='Bioenergy Calculator'!$X$21,P49*'Technology Assumptions'!E$34,IF('Bioenergy Calculator'!$B$4='Bioenergy Calculator'!$X$20,'Bioenergy Calculator'!P49*'Technology Assumptions'!E$36,IF('Bioenergy Calculator'!$B$4='Bioenergy Calculator'!$X$23,'Bioenergy Calculator'!P49*'Technology Assumptions'!E$35,IF('Bioenergy Calculator'!$B$4='Bioenergy Calculator'!$X$22,'Bioenergy Calculator'!P49*'Technology Assumptions'!E$37,'Bioenergy Calculator'!P49)))))</f>
        <v>0</v>
      </c>
    </row>
    <row r="50" spans="1:20" x14ac:dyDescent="0.25">
      <c r="A50" s="1065"/>
      <c r="B50" s="2" t="s">
        <v>508</v>
      </c>
      <c r="C50" s="294">
        <f>SUM(Atlantic!C47,Bergen!C47,Burlington!C47,Camden!C47,'Cape May'!C47,Cumberland!C47,Essex!C47,Gloucester!C47,Hudson!C47,Hunterdon!C47,Mercer!C47,Middlesex!C47,Monmouth!C47,Morris!C47,Ocean!C47,Passaic!C47,Salem!C47,Somerset!C47,Sussex!C47,Union!C47,Warren!C47)</f>
        <v>32881.683560000005</v>
      </c>
      <c r="D50" s="294">
        <f>E50*'Conversion Tables'!C42</f>
        <v>493225.25340000005</v>
      </c>
      <c r="E50" s="294">
        <f>SUM(Atlantic!E47,Bergen!E47,Burlington!E47,Camden!E47,'Cape May'!E47,Cumberland!E47,Essex!E47,Gloucester!E47,Hudson!E47,Hunterdon!E47,Mercer!E47,Middlesex!E47,Monmouth!E47,Morris!E47,Ocean!E47,Passaic!E47,Salem!E47,Somerset!E47,Sussex!E47,Union!E47,Warren!E47)</f>
        <v>16440.841780000002</v>
      </c>
      <c r="F50" s="294">
        <f>SUM(Atlantic!F47,Bergen!F47,Burlington!F47,Camden!F47,'Cape May'!F47,Cumberland!F47,Essex!F47,Gloucester!F47,Hudson!F47,Hunterdon!F47,Mercer!F47,Middlesex!F47,Monmouth!F47,Morris!F47,Ocean!F47,Passaic!F47,Salem!F47,Somerset!F47,Sussex!F47,Union!F47,Warren!F47)</f>
        <v>16706.293250487783</v>
      </c>
      <c r="G50" s="294">
        <f>SUM(Atlantic!G47,Bergen!G47,Burlington!G47,Camden!G47,'Cape May'!G47,Cumberland!G47,Essex!G47,Gloucester!G47,Hudson!G47,Hunterdon!G47,Mercer!G47,Middlesex!G47,Monmouth!G47,Morris!G47,Ocean!G47,Passaic!G47,Salem!G47,Somerset!G47,Sussex!G47,Union!G47,Warren!G47)</f>
        <v>17074.243541670974</v>
      </c>
      <c r="H50" s="294">
        <f>SUM(Atlantic!H47,Bergen!H47,Burlington!H47,Camden!H47,'Cape May'!H47,Cumberland!H47,Essex!H47,Gloucester!H47,Hudson!H47,Hunterdon!H47,Mercer!H47,Middlesex!H47,Monmouth!H47,Morris!H47,Ocean!H47,Passaic!H47,Salem!H47,Somerset!H47,Sussex!H47,Union!H47,Warren!H47)</f>
        <v>17388.795105362024</v>
      </c>
      <c r="I50" s="16">
        <f>SUM(Atlantic!I47,Bergen!I47,Burlington!I47,Camden!I47,'Cape May'!I47,Cumberland!I47,Essex!I47,Gloucester!I47,Hudson!I47,Hunterdon!I47,Mercer!I47,Middlesex!I47,Monmouth!I47,Morris!I47,Ocean!I47,Passaic!I47,Salem!I47,Somerset!I47,Sussex!I47,Union!I47,Warren!I47)</f>
        <v>0</v>
      </c>
      <c r="J50" s="16">
        <f>SUM(Atlantic!J47,Bergen!J47,Burlington!J47,Camden!J47,'Cape May'!J47,Cumberland!J47,Essex!J47,Gloucester!J47,Hudson!J47,Hunterdon!J47,Mercer!J47,Middlesex!J47,Monmouth!J47,Morris!J47,Ocean!J47,Passaic!J47,Salem!J47,Somerset!J47,Sussex!J47,Union!J47,Warren!J47)</f>
        <v>0</v>
      </c>
      <c r="K50" s="16">
        <f>SUM(Atlantic!K47,Bergen!K47,Burlington!K47,Camden!K47,'Cape May'!K47,Cumberland!K47,Essex!K47,Gloucester!K47,Hudson!K47,Hunterdon!K47,Mercer!K47,Middlesex!K47,Monmouth!K47,Morris!K47,Ocean!K47,Passaic!K47,Salem!K47,Somerset!K47,Sussex!K47,Union!K47,Warren!K47)</f>
        <v>0</v>
      </c>
      <c r="L50" s="16">
        <f>SUM(Atlantic!L47,Bergen!L47,Burlington!L47,Camden!L47,'Cape May'!L47,Cumberland!L47,Essex!L47,Gloucester!L47,Hudson!L47,Hunterdon!L47,Mercer!L47,Middlesex!L47,Monmouth!L47,Morris!L47,Ocean!L47,Passaic!L47,Salem!L47,Somerset!L47,Sussex!L47,Union!L47,Warren!L47)</f>
        <v>0</v>
      </c>
      <c r="M50" s="16">
        <f>SUM(Atlantic!M47,Bergen!M47,Burlington!M47,Camden!M47,'Cape May'!M47,Cumberland!M47,Essex!M47,Gloucester!M47,Hudson!M47,Hunterdon!M47,Mercer!M47,Middlesex!M47,Monmouth!M47,Morris!M47,Ocean!M47,Passaic!M47,Salem!M47,Somerset!M47,Sussex!M47,Union!M47,Warren!M47)</f>
        <v>0</v>
      </c>
      <c r="N50" s="16">
        <f>SUM(Atlantic!N47,Bergen!N47,Burlington!N47,Camden!N47,'Cape May'!N47,Cumberland!N47,Essex!N47,Gloucester!N47,Hudson!N47,Hunterdon!N47,Mercer!N47,Middlesex!N47,Monmouth!N47,Morris!N47,Ocean!N47,Passaic!N47,Salem!N47,Somerset!N47,Sussex!N47,Union!N47,Warren!N47)</f>
        <v>0</v>
      </c>
      <c r="O50" s="16">
        <f>SUM(Atlantic!O47,Bergen!O47,Burlington!O47,Camden!O47,'Cape May'!O47,Cumberland!O47,Essex!O47,Gloucester!O47,Hudson!O47,Hunterdon!O47,Mercer!O47,Middlesex!O47,Monmouth!O47,Morris!O47,Ocean!O47,Passaic!O47,Salem!O47,Somerset!O47,Sussex!O47,Union!O47,Warren!O47)</f>
        <v>0</v>
      </c>
      <c r="P50" s="16">
        <f>SUM(Atlantic!P47,Bergen!P47,Burlington!P47,Camden!P47,'Cape May'!P47,Cumberland!P47,Essex!P47,Gloucester!P47,Hudson!P47,Hunterdon!P47,Mercer!P47,Middlesex!P47,Monmouth!P47,Morris!P47,Ocean!P47,Passaic!P47,Salem!P47,Somerset!P47,Sussex!P47,Union!P47,Warren!P47)</f>
        <v>0</v>
      </c>
      <c r="Q50" s="16">
        <f>IF($B$4=$X$19,M50*'Technology Assumptions'!B$34,IF('Bioenergy Calculator'!$B$4='Bioenergy Calculator'!$X$21,M50*'Technology Assumptions'!B$34,IF('Bioenergy Calculator'!$B$4='Bioenergy Calculator'!$X$20,'Bioenergy Calculator'!M50*'Technology Assumptions'!B$36,IF('Bioenergy Calculator'!$B$4='Bioenergy Calculator'!$X$23,'Bioenergy Calculator'!M50*'Technology Assumptions'!B$35,IF('Bioenergy Calculator'!$B$4='Bioenergy Calculator'!$X$22,'Bioenergy Calculator'!M50*'Technology Assumptions'!B$37,'Bioenergy Calculator'!M50)))))</f>
        <v>0</v>
      </c>
      <c r="R50" s="16">
        <f>IF($B$4=$X$19,N50*'Technology Assumptions'!C$34,IF('Bioenergy Calculator'!$B$4='Bioenergy Calculator'!$X$21,N50*'Technology Assumptions'!C$34,IF('Bioenergy Calculator'!$B$4='Bioenergy Calculator'!$X$20,'Bioenergy Calculator'!N50*'Technology Assumptions'!C$36,IF('Bioenergy Calculator'!$B$4='Bioenergy Calculator'!$X$23,'Bioenergy Calculator'!N50*'Technology Assumptions'!C$35,IF('Bioenergy Calculator'!$B$4='Bioenergy Calculator'!$X$22,'Bioenergy Calculator'!N50*'Technology Assumptions'!C$37,'Bioenergy Calculator'!N50)))))</f>
        <v>0</v>
      </c>
      <c r="S50" s="16">
        <f>IF($B$4=$X$19,O50*'Technology Assumptions'!D$34,IF('Bioenergy Calculator'!$B$4='Bioenergy Calculator'!$X$21,O50*'Technology Assumptions'!D$34,IF('Bioenergy Calculator'!$B$4='Bioenergy Calculator'!$X$20,'Bioenergy Calculator'!O50*'Technology Assumptions'!D$36,IF('Bioenergy Calculator'!$B$4='Bioenergy Calculator'!$X$23,'Bioenergy Calculator'!O50*'Technology Assumptions'!D$35,IF('Bioenergy Calculator'!$B$4='Bioenergy Calculator'!$X$22,'Bioenergy Calculator'!O50*'Technology Assumptions'!D$37,'Bioenergy Calculator'!O50)))))</f>
        <v>0</v>
      </c>
      <c r="T50" s="16">
        <f>IF($B$4=$X$19,P50*'Technology Assumptions'!E$34,IF('Bioenergy Calculator'!$B$4='Bioenergy Calculator'!$X$21,P50*'Technology Assumptions'!E$34,IF('Bioenergy Calculator'!$B$4='Bioenergy Calculator'!$X$20,'Bioenergy Calculator'!P50*'Technology Assumptions'!E$36,IF('Bioenergy Calculator'!$B$4='Bioenergy Calculator'!$X$23,'Bioenergy Calculator'!P50*'Technology Assumptions'!E$35,IF('Bioenergy Calculator'!$B$4='Bioenergy Calculator'!$X$22,'Bioenergy Calculator'!P50*'Technology Assumptions'!E$37,'Bioenergy Calculator'!P50)))))</f>
        <v>0</v>
      </c>
    </row>
    <row r="51" spans="1:20" x14ac:dyDescent="0.25">
      <c r="A51" s="1065"/>
      <c r="B51" s="1" t="s">
        <v>509</v>
      </c>
      <c r="C51" s="294">
        <f>SUM(Atlantic!C48,Bergen!C48,Burlington!C48,Camden!C48,'Cape May'!C48,Cumberland!C48,Essex!C48,Gloucester!C48,Hudson!C48,Hunterdon!C48,Mercer!C48,Middlesex!C48,Monmouth!C48,Morris!C48,Ocean!C48,Passaic!C48,Salem!C48,Somerset!C48,Sussex!C48,Union!C48,Warren!C48)</f>
        <v>2938.6905694999996</v>
      </c>
      <c r="D51" s="294">
        <f>E51*'Conversion Tables'!C43</f>
        <v>88160.717084999982</v>
      </c>
      <c r="E51" s="294">
        <f>SUM(Atlantic!E48,Bergen!E48,Burlington!E48,Camden!E48,'Cape May'!E48,Cumberland!E48,Essex!E48,Gloucester!E48,Hudson!E48,Hunterdon!E48,Mercer!E48,Middlesex!E48,Monmouth!E48,Morris!E48,Ocean!E48,Passaic!E48,Salem!E48,Somerset!E48,Sussex!E48,Union!E48,Warren!E48)</f>
        <v>2938.6905694999996</v>
      </c>
      <c r="F51" s="294">
        <f>SUM(Atlantic!F48,Bergen!F48,Burlington!F48,Camden!F48,'Cape May'!F48,Cumberland!F48,Essex!F48,Gloucester!F48,Hudson!F48,Hunterdon!F48,Mercer!F48,Middlesex!F48,Monmouth!F48,Morris!F48,Ocean!F48,Passaic!F48,Salem!F48,Somerset!F48,Sussex!F48,Union!F48,Warren!F48)</f>
        <v>2986.1382454414652</v>
      </c>
      <c r="G51" s="294">
        <f>SUM(Atlantic!G48,Bergen!G48,Burlington!G48,Camden!G48,'Cape May'!G48,Cumberland!G48,Essex!G48,Gloucester!G48,Hudson!G48,Hunterdon!G48,Mercer!G48,Middlesex!G48,Monmouth!G48,Morris!G48,Ocean!G48,Passaic!G48,Salem!G48,Somerset!G48,Sussex!G48,Union!G48,Warren!G48)</f>
        <v>3051.9069004296903</v>
      </c>
      <c r="H51" s="294">
        <f>SUM(Atlantic!H48,Bergen!H48,Burlington!H48,Camden!H48,'Cape May'!H48,Cumberland!H48,Essex!H48,Gloucester!H48,Hudson!H48,Hunterdon!H48,Mercer!H48,Middlesex!H48,Monmouth!H48,Morris!H48,Ocean!H48,Passaic!H48,Salem!H48,Somerset!H48,Sussex!H48,Union!H48,Warren!H48)</f>
        <v>3108.1308898220618</v>
      </c>
      <c r="I51" s="16">
        <f>SUM(Atlantic!I48,Bergen!I48,Burlington!I48,Camden!I48,'Cape May'!I48,Cumberland!I48,Essex!I48,Gloucester!I48,Hudson!I48,Hunterdon!I48,Mercer!I48,Middlesex!I48,Monmouth!I48,Morris!I48,Ocean!I48,Passaic!I48,Salem!I48,Somerset!I48,Sussex!I48,Union!I48,Warren!I48)</f>
        <v>0</v>
      </c>
      <c r="J51" s="16">
        <f>SUM(Atlantic!J48,Bergen!J48,Burlington!J48,Camden!J48,'Cape May'!J48,Cumberland!J48,Essex!J48,Gloucester!J48,Hudson!J48,Hunterdon!J48,Mercer!J48,Middlesex!J48,Monmouth!J48,Morris!J48,Ocean!J48,Passaic!J48,Salem!J48,Somerset!J48,Sussex!J48,Union!J48,Warren!J48)</f>
        <v>0</v>
      </c>
      <c r="K51" s="16">
        <f>SUM(Atlantic!K48,Bergen!K48,Burlington!K48,Camden!K48,'Cape May'!K48,Cumberland!K48,Essex!K48,Gloucester!K48,Hudson!K48,Hunterdon!K48,Mercer!K48,Middlesex!K48,Monmouth!K48,Morris!K48,Ocean!K48,Passaic!K48,Salem!K48,Somerset!K48,Sussex!K48,Union!K48,Warren!K48)</f>
        <v>0</v>
      </c>
      <c r="L51" s="16">
        <f>SUM(Atlantic!L48,Bergen!L48,Burlington!L48,Camden!L48,'Cape May'!L48,Cumberland!L48,Essex!L48,Gloucester!L48,Hudson!L48,Hunterdon!L48,Mercer!L48,Middlesex!L48,Monmouth!L48,Morris!L48,Ocean!L48,Passaic!L48,Salem!L48,Somerset!L48,Sussex!L48,Union!L48,Warren!L48)</f>
        <v>0</v>
      </c>
      <c r="M51" s="16">
        <f>SUM(Atlantic!M48,Bergen!M48,Burlington!M48,Camden!M48,'Cape May'!M48,Cumberland!M48,Essex!M48,Gloucester!M48,Hudson!M48,Hunterdon!M48,Mercer!M48,Middlesex!M48,Monmouth!M48,Morris!M48,Ocean!M48,Passaic!M48,Salem!M48,Somerset!M48,Sussex!M48,Union!M48,Warren!M48)</f>
        <v>0</v>
      </c>
      <c r="N51" s="16">
        <f>SUM(Atlantic!N48,Bergen!N48,Burlington!N48,Camden!N48,'Cape May'!N48,Cumberland!N48,Essex!N48,Gloucester!N48,Hudson!N48,Hunterdon!N48,Mercer!N48,Middlesex!N48,Monmouth!N48,Morris!N48,Ocean!N48,Passaic!N48,Salem!N48,Somerset!N48,Sussex!N48,Union!N48,Warren!N48)</f>
        <v>0</v>
      </c>
      <c r="O51" s="16">
        <f>SUM(Atlantic!O48,Bergen!O48,Burlington!O48,Camden!O48,'Cape May'!O48,Cumberland!O48,Essex!O48,Gloucester!O48,Hudson!O48,Hunterdon!O48,Mercer!O48,Middlesex!O48,Monmouth!O48,Morris!O48,Ocean!O48,Passaic!O48,Salem!O48,Somerset!O48,Sussex!O48,Union!O48,Warren!O48)</f>
        <v>0</v>
      </c>
      <c r="P51" s="16">
        <f>SUM(Atlantic!P48,Bergen!P48,Burlington!P48,Camden!P48,'Cape May'!P48,Cumberland!P48,Essex!P48,Gloucester!P48,Hudson!P48,Hunterdon!P48,Mercer!P48,Middlesex!P48,Monmouth!P48,Morris!P48,Ocean!P48,Passaic!P48,Salem!P48,Somerset!P48,Sussex!P48,Union!P48,Warren!P48)</f>
        <v>0</v>
      </c>
      <c r="Q51" s="16">
        <f>IF($B$4=$X$19,M51*'Technology Assumptions'!B$34,IF('Bioenergy Calculator'!$B$4='Bioenergy Calculator'!$X$21,M51*'Technology Assumptions'!B$34,IF('Bioenergy Calculator'!$B$4='Bioenergy Calculator'!$X$20,'Bioenergy Calculator'!M51*'Technology Assumptions'!B$36,IF('Bioenergy Calculator'!$B$4='Bioenergy Calculator'!$X$23,'Bioenergy Calculator'!M51*'Technology Assumptions'!B$35,IF('Bioenergy Calculator'!$B$4='Bioenergy Calculator'!$X$22,'Bioenergy Calculator'!M51*'Technology Assumptions'!B$37,'Bioenergy Calculator'!M51)))))</f>
        <v>0</v>
      </c>
      <c r="R51" s="16">
        <f>IF($B$4=$X$19,N51*'Technology Assumptions'!C$34,IF('Bioenergy Calculator'!$B$4='Bioenergy Calculator'!$X$21,N51*'Technology Assumptions'!C$34,IF('Bioenergy Calculator'!$B$4='Bioenergy Calculator'!$X$20,'Bioenergy Calculator'!N51*'Technology Assumptions'!C$36,IF('Bioenergy Calculator'!$B$4='Bioenergy Calculator'!$X$23,'Bioenergy Calculator'!N51*'Technology Assumptions'!C$35,IF('Bioenergy Calculator'!$B$4='Bioenergy Calculator'!$X$22,'Bioenergy Calculator'!N51*'Technology Assumptions'!C$37,'Bioenergy Calculator'!N51)))))</f>
        <v>0</v>
      </c>
      <c r="S51" s="16">
        <f>IF($B$4=$X$19,O51*'Technology Assumptions'!D$34,IF('Bioenergy Calculator'!$B$4='Bioenergy Calculator'!$X$21,O51*'Technology Assumptions'!D$34,IF('Bioenergy Calculator'!$B$4='Bioenergy Calculator'!$X$20,'Bioenergy Calculator'!O51*'Technology Assumptions'!D$36,IF('Bioenergy Calculator'!$B$4='Bioenergy Calculator'!$X$23,'Bioenergy Calculator'!O51*'Technology Assumptions'!D$35,IF('Bioenergy Calculator'!$B$4='Bioenergy Calculator'!$X$22,'Bioenergy Calculator'!O51*'Technology Assumptions'!D$37,'Bioenergy Calculator'!O51)))))</f>
        <v>0</v>
      </c>
      <c r="T51" s="16">
        <f>IF($B$4=$X$19,P51*'Technology Assumptions'!E$34,IF('Bioenergy Calculator'!$B$4='Bioenergy Calculator'!$X$21,P51*'Technology Assumptions'!E$34,IF('Bioenergy Calculator'!$B$4='Bioenergy Calculator'!$X$20,'Bioenergy Calculator'!P51*'Technology Assumptions'!E$36,IF('Bioenergy Calculator'!$B$4='Bioenergy Calculator'!$X$23,'Bioenergy Calculator'!P51*'Technology Assumptions'!E$35,IF('Bioenergy Calculator'!$B$4='Bioenergy Calculator'!$X$22,'Bioenergy Calculator'!P51*'Technology Assumptions'!E$37,'Bioenergy Calculator'!P51)))))</f>
        <v>0</v>
      </c>
    </row>
    <row r="52" spans="1:20" x14ac:dyDescent="0.25">
      <c r="A52" s="1065"/>
      <c r="B52" s="9" t="s">
        <v>524</v>
      </c>
      <c r="C52" s="295">
        <f t="shared" ref="C52:P52" si="3">SUM(C48:C51)</f>
        <v>114679.5741295</v>
      </c>
      <c r="D52" s="295">
        <f>SUM(D48:D51)</f>
        <v>581385.97048500006</v>
      </c>
      <c r="E52" s="295">
        <f t="shared" si="3"/>
        <v>98238.732349500002</v>
      </c>
      <c r="F52" s="295">
        <f>SUM(F48:F51)</f>
        <v>98551.63149592925</v>
      </c>
      <c r="G52" s="295">
        <f>SUM(G48:G51)</f>
        <v>98985.350442100666</v>
      </c>
      <c r="H52" s="295">
        <f>SUM(H48:H51)</f>
        <v>99356.125995184077</v>
      </c>
      <c r="I52" s="19">
        <f t="shared" si="3"/>
        <v>0</v>
      </c>
      <c r="J52" s="19">
        <f t="shared" si="3"/>
        <v>0</v>
      </c>
      <c r="K52" s="19">
        <f t="shared" si="3"/>
        <v>0</v>
      </c>
      <c r="L52" s="19">
        <f t="shared" si="3"/>
        <v>0</v>
      </c>
      <c r="M52" s="19">
        <f t="shared" si="3"/>
        <v>0</v>
      </c>
      <c r="N52" s="19">
        <f t="shared" si="3"/>
        <v>0</v>
      </c>
      <c r="O52" s="19">
        <f t="shared" si="3"/>
        <v>0</v>
      </c>
      <c r="P52" s="19">
        <f t="shared" si="3"/>
        <v>0</v>
      </c>
      <c r="Q52" s="19">
        <f>SUM(Q48:Q51)</f>
        <v>0</v>
      </c>
      <c r="R52" s="19">
        <f>SUM(R48:R51)</f>
        <v>0</v>
      </c>
      <c r="S52" s="19">
        <f>SUM(S48:S51)</f>
        <v>0</v>
      </c>
      <c r="T52" s="19">
        <f>SUM(T48:T51)</f>
        <v>0</v>
      </c>
    </row>
    <row r="53" spans="1:20" x14ac:dyDescent="0.25">
      <c r="A53" s="8"/>
      <c r="B53" s="5"/>
      <c r="C53" s="296"/>
      <c r="D53" s="296"/>
      <c r="E53" s="296"/>
      <c r="F53" s="296"/>
      <c r="G53" s="296"/>
      <c r="H53" s="296"/>
      <c r="I53" s="28"/>
      <c r="J53" s="28"/>
      <c r="K53" s="28"/>
      <c r="L53" s="28"/>
      <c r="M53" s="28"/>
      <c r="N53" s="28"/>
      <c r="O53" s="28"/>
      <c r="P53" s="28"/>
      <c r="Q53" s="28"/>
      <c r="R53" s="28"/>
      <c r="S53" s="28"/>
      <c r="T53" s="28"/>
    </row>
    <row r="54" spans="1:20" x14ac:dyDescent="0.25">
      <c r="A54" s="1064" t="s">
        <v>517</v>
      </c>
      <c r="B54" s="2" t="s">
        <v>505</v>
      </c>
      <c r="C54" s="294"/>
      <c r="D54" s="294"/>
      <c r="E54" s="294"/>
      <c r="F54" s="294"/>
      <c r="G54" s="294"/>
      <c r="H54" s="294"/>
      <c r="I54" s="16"/>
      <c r="J54" s="16"/>
      <c r="K54" s="16"/>
      <c r="L54" s="16"/>
      <c r="M54" s="16"/>
      <c r="N54" s="16"/>
      <c r="O54" s="16"/>
      <c r="P54" s="16"/>
      <c r="Q54" s="16"/>
      <c r="R54" s="16"/>
      <c r="S54" s="16"/>
      <c r="T54" s="16"/>
    </row>
    <row r="55" spans="1:20" x14ac:dyDescent="0.25">
      <c r="A55" s="1064"/>
      <c r="B55" s="12" t="s">
        <v>535</v>
      </c>
      <c r="C55" s="294">
        <f>SUM(Atlantic!C52,Bergen!C52,Burlington!C52,Camden!C52,'Cape May'!C52,Cumberland!C52,Essex!C52,Gloucester!C52,Hudson!C52,Hunterdon!C52,Mercer!C52,Middlesex!C52,Monmouth!C52,Morris!C52,Ocean!C52,Passaic!C52,Salem!C52,Somerset!C52,Sussex!C52,Union!C52,Warren!C52)</f>
        <v>20937.1008</v>
      </c>
      <c r="D55" s="294">
        <f>E55*'Conversion Tables'!C45</f>
        <v>61823.071242239996</v>
      </c>
      <c r="E55" s="294">
        <f>SUM(Atlantic!E52,Bergen!E52,Burlington!E52,Camden!E52,'Cape May'!E52,Cumberland!E52,Essex!E52,Gloucester!E52,Hudson!E52,Hunterdon!E52,Mercer!E52,Middlesex!E52,Monmouth!E52,Morris!E52,Ocean!E52,Passaic!E52,Salem!E52,Somerset!E52,Sussex!E52,Union!E52,Warren!E52)</f>
        <v>4187.4201599999997</v>
      </c>
      <c r="F55" s="294">
        <f>SUM(Atlantic!F52,Bergen!F52,Burlington!F52,Camden!F52,'Cape May'!F52,Cumberland!F52,Essex!F52,Gloucester!F52,Hudson!F52,Hunterdon!F52,Mercer!F52,Middlesex!F52,Monmouth!F52,Morris!F52,Ocean!F52,Passaic!F52,Salem!F52,Somerset!F52,Sussex!F52,Union!F52,Warren!F52)</f>
        <v>4187.4201599999997</v>
      </c>
      <c r="G55" s="294">
        <f>SUM(Atlantic!G52,Bergen!G52,Burlington!G52,Camden!G52,'Cape May'!G52,Cumberland!G52,Essex!G52,Gloucester!G52,Hudson!G52,Hunterdon!G52,Mercer!G52,Middlesex!G52,Monmouth!G52,Morris!G52,Ocean!G52,Passaic!G52,Salem!G52,Somerset!G52,Sussex!G52,Union!G52,Warren!G52)</f>
        <v>4187.4201599999997</v>
      </c>
      <c r="H55" s="294">
        <f>SUM(Atlantic!H52,Bergen!H52,Burlington!H52,Camden!H52,'Cape May'!H52,Cumberland!H52,Essex!H52,Gloucester!H52,Hudson!H52,Hunterdon!H52,Mercer!H52,Middlesex!H52,Monmouth!H52,Morris!H52,Ocean!H52,Passaic!H52,Salem!H52,Somerset!H52,Sussex!H52,Union!H52,Warren!H52)</f>
        <v>4187.4201599999997</v>
      </c>
      <c r="I55" s="16">
        <f>SUM(Atlantic!I52,Bergen!I52,Burlington!I52,Camden!I52,'Cape May'!I52,Cumberland!I52,Essex!I52,Gloucester!I52,Hudson!I52,Hunterdon!I52,Mercer!I52,Middlesex!I52,Monmouth!I52,Morris!I52,Ocean!I52,Passaic!I52,Salem!I52,Somerset!I52,Sussex!I52,Union!I52,Warren!I52)</f>
        <v>0</v>
      </c>
      <c r="J55" s="16">
        <f>SUM(Atlantic!J52,Bergen!J52,Burlington!J52,Camden!J52,'Cape May'!J52,Cumberland!J52,Essex!J52,Gloucester!J52,Hudson!J52,Hunterdon!J52,Mercer!J52,Middlesex!J52,Monmouth!J52,Morris!J52,Ocean!J52,Passaic!J52,Salem!J52,Somerset!J52,Sussex!J52,Union!J52,Warren!J52)</f>
        <v>0</v>
      </c>
      <c r="K55" s="16">
        <f>SUM(Atlantic!K52,Bergen!K52,Burlington!K52,Camden!K52,'Cape May'!K52,Cumberland!K52,Essex!K52,Gloucester!K52,Hudson!K52,Hunterdon!K52,Mercer!K52,Middlesex!K52,Monmouth!K52,Morris!K52,Ocean!K52,Passaic!K52,Salem!K52,Somerset!K52,Sussex!K52,Union!K52,Warren!K52)</f>
        <v>0</v>
      </c>
      <c r="L55" s="16">
        <f>SUM(Atlantic!L52,Bergen!L52,Burlington!L52,Camden!L52,'Cape May'!L52,Cumberland!L52,Essex!L52,Gloucester!L52,Hudson!L52,Hunterdon!L52,Mercer!L52,Middlesex!L52,Monmouth!L52,Morris!L52,Ocean!L52,Passaic!L52,Salem!L52,Somerset!L52,Sussex!L52,Union!L52,Warren!L52)</f>
        <v>0</v>
      </c>
      <c r="M55" s="16">
        <f>SUM(Atlantic!M52,Bergen!M52,Burlington!M52,Camden!M52,'Cape May'!M52,Cumberland!M52,Essex!M52,Gloucester!M52,Hudson!M52,Hunterdon!M52,Mercer!M52,Middlesex!M52,Monmouth!M52,Morris!M52,Ocean!M52,Passaic!M52,Salem!M52,Somerset!M52,Sussex!M52,Union!M52,Warren!M52)</f>
        <v>0</v>
      </c>
      <c r="N55" s="16">
        <f>SUM(Atlantic!N52,Bergen!N52,Burlington!N52,Camden!N52,'Cape May'!N52,Cumberland!N52,Essex!N52,Gloucester!N52,Hudson!N52,Hunterdon!N52,Mercer!N52,Middlesex!N52,Monmouth!N52,Morris!N52,Ocean!N52,Passaic!N52,Salem!N52,Somerset!N52,Sussex!N52,Union!N52,Warren!N52)</f>
        <v>0</v>
      </c>
      <c r="O55" s="16">
        <f>SUM(Atlantic!O52,Bergen!O52,Burlington!O52,Camden!O52,'Cape May'!O52,Cumberland!O52,Essex!O52,Gloucester!O52,Hudson!O52,Hunterdon!O52,Mercer!O52,Middlesex!O52,Monmouth!O52,Morris!O52,Ocean!O52,Passaic!O52,Salem!O52,Somerset!O52,Sussex!O52,Union!O52,Warren!O52)</f>
        <v>0</v>
      </c>
      <c r="P55" s="16">
        <f>SUM(Atlantic!P52,Bergen!P52,Burlington!P52,Camden!P52,'Cape May'!P52,Cumberland!P52,Essex!P52,Gloucester!P52,Hudson!P52,Hunterdon!P52,Mercer!P52,Middlesex!P52,Monmouth!P52,Morris!P52,Ocean!P52,Passaic!P52,Salem!P52,Somerset!P52,Sussex!P52,Union!P52,Warren!P52)</f>
        <v>0</v>
      </c>
      <c r="Q55" s="16">
        <f>IF($B$4=$X$19,M55*'Technology Assumptions'!B$34,IF('Bioenergy Calculator'!$B$4='Bioenergy Calculator'!$X$21,M55*'Technology Assumptions'!B$34,IF('Bioenergy Calculator'!$B$4='Bioenergy Calculator'!$X$20,'Bioenergy Calculator'!M55*'Technology Assumptions'!B$36,IF('Bioenergy Calculator'!$B$4='Bioenergy Calculator'!$X$23,'Bioenergy Calculator'!M55*'Technology Assumptions'!B$35,IF('Bioenergy Calculator'!$B$4='Bioenergy Calculator'!$X$22,'Bioenergy Calculator'!M55*'Technology Assumptions'!B$37,'Bioenergy Calculator'!M55)))))</f>
        <v>0</v>
      </c>
      <c r="R55" s="16">
        <f>IF($B$4=$X$19,N55*'Technology Assumptions'!C$34,IF('Bioenergy Calculator'!$B$4='Bioenergy Calculator'!$X$21,N55*'Technology Assumptions'!C$34,IF('Bioenergy Calculator'!$B$4='Bioenergy Calculator'!$X$20,'Bioenergy Calculator'!N55*'Technology Assumptions'!C$36,IF('Bioenergy Calculator'!$B$4='Bioenergy Calculator'!$X$23,'Bioenergy Calculator'!N55*'Technology Assumptions'!C$35,IF('Bioenergy Calculator'!$B$4='Bioenergy Calculator'!$X$22,'Bioenergy Calculator'!N55*'Technology Assumptions'!C$37,'Bioenergy Calculator'!N55)))))</f>
        <v>0</v>
      </c>
      <c r="S55" s="16">
        <f>IF($B$4=$X$19,O55*'Technology Assumptions'!D$34,IF('Bioenergy Calculator'!$B$4='Bioenergy Calculator'!$X$21,O55*'Technology Assumptions'!D$34,IF('Bioenergy Calculator'!$B$4='Bioenergy Calculator'!$X$20,'Bioenergy Calculator'!O55*'Technology Assumptions'!D$36,IF('Bioenergy Calculator'!$B$4='Bioenergy Calculator'!$X$23,'Bioenergy Calculator'!O55*'Technology Assumptions'!D$35,IF('Bioenergy Calculator'!$B$4='Bioenergy Calculator'!$X$22,'Bioenergy Calculator'!O55*'Technology Assumptions'!D$37,'Bioenergy Calculator'!O55)))))</f>
        <v>0</v>
      </c>
      <c r="T55" s="16">
        <f>IF($B$4=$X$19,P55*'Technology Assumptions'!E$34,IF('Bioenergy Calculator'!$B$4='Bioenergy Calculator'!$X$21,P55*'Technology Assumptions'!E$34,IF('Bioenergy Calculator'!$B$4='Bioenergy Calculator'!$X$20,'Bioenergy Calculator'!P55*'Technology Assumptions'!E$36,IF('Bioenergy Calculator'!$B$4='Bioenergy Calculator'!$X$23,'Bioenergy Calculator'!P55*'Technology Assumptions'!E$35,IF('Bioenergy Calculator'!$B$4='Bioenergy Calculator'!$X$22,'Bioenergy Calculator'!P55*'Technology Assumptions'!E$37,'Bioenergy Calculator'!P55)))))</f>
        <v>0</v>
      </c>
    </row>
    <row r="56" spans="1:20" x14ac:dyDescent="0.25">
      <c r="A56" s="1064"/>
      <c r="B56" s="12" t="s">
        <v>539</v>
      </c>
      <c r="C56" s="294">
        <f>SUM(Atlantic!C53,Bergen!C53,Burlington!C53,Camden!C53,'Cape May'!C53,Cumberland!C53,Essex!C53,Gloucester!C53,Hudson!C53,Hunterdon!C53,Mercer!C53,Middlesex!C53,Monmouth!C53,Morris!C53,Ocean!C53,Passaic!C53,Salem!C53,Somerset!C53,Sussex!C53,Union!C53,Warren!C53)</f>
        <v>51657.106800000001</v>
      </c>
      <c r="D56" s="294">
        <f>E56*'Conversion Tables'!C46</f>
        <v>457599.3148771199</v>
      </c>
      <c r="E56" s="294">
        <f>SUM(Atlantic!E53,Bergen!E53,Burlington!E53,Camden!E53,'Cape May'!E53,Cumberland!E53,Essex!E53,Gloucester!E53,Hudson!E53,Hunterdon!E53,Mercer!E53,Middlesex!E53,Monmouth!E53,Morris!E53,Ocean!E53,Passaic!E53,Salem!E53,Somerset!E53,Sussex!E53,Union!E53,Warren!E53)</f>
        <v>30994.264079999994</v>
      </c>
      <c r="F56" s="294">
        <f>SUM(Atlantic!F53,Bergen!F53,Burlington!F53,Camden!F53,'Cape May'!F53,Cumberland!F53,Essex!F53,Gloucester!F53,Hudson!F53,Hunterdon!F53,Mercer!F53,Middlesex!F53,Monmouth!F53,Morris!F53,Ocean!F53,Passaic!F53,Salem!F53,Somerset!F53,Sussex!F53,Union!F53,Warren!F53)</f>
        <v>30994.264079999994</v>
      </c>
      <c r="G56" s="294">
        <f>SUM(Atlantic!G53,Bergen!G53,Burlington!G53,Camden!G53,'Cape May'!G53,Cumberland!G53,Essex!G53,Gloucester!G53,Hudson!G53,Hunterdon!G53,Mercer!G53,Middlesex!G53,Monmouth!G53,Morris!G53,Ocean!G53,Passaic!G53,Salem!G53,Somerset!G53,Sussex!G53,Union!G53,Warren!G53)</f>
        <v>30994.264079999994</v>
      </c>
      <c r="H56" s="294">
        <f>SUM(Atlantic!H53,Bergen!H53,Burlington!H53,Camden!H53,'Cape May'!H53,Cumberland!H53,Essex!H53,Gloucester!H53,Hudson!H53,Hunterdon!H53,Mercer!H53,Middlesex!H53,Monmouth!H53,Morris!H53,Ocean!H53,Passaic!H53,Salem!H53,Somerset!H53,Sussex!H53,Union!H53,Warren!H53)</f>
        <v>30994.264079999994</v>
      </c>
      <c r="I56" s="16">
        <f>SUM(Atlantic!I53,Bergen!I53,Burlington!I53,Camden!I53,'Cape May'!I53,Cumberland!I53,Essex!I53,Gloucester!I53,Hudson!I53,Hunterdon!I53,Mercer!I53,Middlesex!I53,Monmouth!I53,Morris!I53,Ocean!I53,Passaic!I53,Salem!I53,Somerset!I53,Sussex!I53,Union!I53,Warren!I53)</f>
        <v>0</v>
      </c>
      <c r="J56" s="16">
        <f>SUM(Atlantic!J53,Bergen!J53,Burlington!J53,Camden!J53,'Cape May'!J53,Cumberland!J53,Essex!J53,Gloucester!J53,Hudson!J53,Hunterdon!J53,Mercer!J53,Middlesex!J53,Monmouth!J53,Morris!J53,Ocean!J53,Passaic!J53,Salem!J53,Somerset!J53,Sussex!J53,Union!J53,Warren!J53)</f>
        <v>0</v>
      </c>
      <c r="K56" s="16">
        <f>SUM(Atlantic!K53,Bergen!K53,Burlington!K53,Camden!K53,'Cape May'!K53,Cumberland!K53,Essex!K53,Gloucester!K53,Hudson!K53,Hunterdon!K53,Mercer!K53,Middlesex!K53,Monmouth!K53,Morris!K53,Ocean!K53,Passaic!K53,Salem!K53,Somerset!K53,Sussex!K53,Union!K53,Warren!K53)</f>
        <v>0</v>
      </c>
      <c r="L56" s="16">
        <f>SUM(Atlantic!L53,Bergen!L53,Burlington!L53,Camden!L53,'Cape May'!L53,Cumberland!L53,Essex!L53,Gloucester!L53,Hudson!L53,Hunterdon!L53,Mercer!L53,Middlesex!L53,Monmouth!L53,Morris!L53,Ocean!L53,Passaic!L53,Salem!L53,Somerset!L53,Sussex!L53,Union!L53,Warren!L53)</f>
        <v>0</v>
      </c>
      <c r="M56" s="16">
        <f>SUM(Atlantic!M53,Bergen!M53,Burlington!M53,Camden!M53,'Cape May'!M53,Cumberland!M53,Essex!M53,Gloucester!M53,Hudson!M53,Hunterdon!M53,Mercer!M53,Middlesex!M53,Monmouth!M53,Morris!M53,Ocean!M53,Passaic!M53,Salem!M53,Somerset!M53,Sussex!M53,Union!M53,Warren!M53)</f>
        <v>0</v>
      </c>
      <c r="N56" s="16">
        <f>SUM(Atlantic!N53,Bergen!N53,Burlington!N53,Camden!N53,'Cape May'!N53,Cumberland!N53,Essex!N53,Gloucester!N53,Hudson!N53,Hunterdon!N53,Mercer!N53,Middlesex!N53,Monmouth!N53,Morris!N53,Ocean!N53,Passaic!N53,Salem!N53,Somerset!N53,Sussex!N53,Union!N53,Warren!N53)</f>
        <v>0</v>
      </c>
      <c r="O56" s="16">
        <f>SUM(Atlantic!O53,Bergen!O53,Burlington!O53,Camden!O53,'Cape May'!O53,Cumberland!O53,Essex!O53,Gloucester!O53,Hudson!O53,Hunterdon!O53,Mercer!O53,Middlesex!O53,Monmouth!O53,Morris!O53,Ocean!O53,Passaic!O53,Salem!O53,Somerset!O53,Sussex!O53,Union!O53,Warren!O53)</f>
        <v>0</v>
      </c>
      <c r="P56" s="16">
        <f>SUM(Atlantic!P53,Bergen!P53,Burlington!P53,Camden!P53,'Cape May'!P53,Cumberland!P53,Essex!P53,Gloucester!P53,Hudson!P53,Hunterdon!P53,Mercer!P53,Middlesex!P53,Monmouth!P53,Morris!P53,Ocean!P53,Passaic!P53,Salem!P53,Somerset!P53,Sussex!P53,Union!P53,Warren!P53)</f>
        <v>0</v>
      </c>
      <c r="Q56" s="16">
        <f>IF($B$4=$X$19,M56*'Technology Assumptions'!B$34,IF('Bioenergy Calculator'!$B$4='Bioenergy Calculator'!$X$21,M56*'Technology Assumptions'!B$34,IF('Bioenergy Calculator'!$B$4='Bioenergy Calculator'!$X$20,'Bioenergy Calculator'!M56*'Technology Assumptions'!B$36,IF('Bioenergy Calculator'!$B$4='Bioenergy Calculator'!$X$23,'Bioenergy Calculator'!M56*'Technology Assumptions'!B$35,IF('Bioenergy Calculator'!$B$4='Bioenergy Calculator'!$X$22,'Bioenergy Calculator'!M56*'Technology Assumptions'!B$37,'Bioenergy Calculator'!M56)))))</f>
        <v>0</v>
      </c>
      <c r="R56" s="16">
        <f>IF($B$4=$X$19,N56*'Technology Assumptions'!C$34,IF('Bioenergy Calculator'!$B$4='Bioenergy Calculator'!$X$21,N56*'Technology Assumptions'!C$34,IF('Bioenergy Calculator'!$B$4='Bioenergy Calculator'!$X$20,'Bioenergy Calculator'!N56*'Technology Assumptions'!C$36,IF('Bioenergy Calculator'!$B$4='Bioenergy Calculator'!$X$23,'Bioenergy Calculator'!N56*'Technology Assumptions'!C$35,IF('Bioenergy Calculator'!$B$4='Bioenergy Calculator'!$X$22,'Bioenergy Calculator'!N56*'Technology Assumptions'!C$37,'Bioenergy Calculator'!N56)))))</f>
        <v>0</v>
      </c>
      <c r="S56" s="16">
        <f>IF($B$4=$X$19,O56*'Technology Assumptions'!D$34,IF('Bioenergy Calculator'!$B$4='Bioenergy Calculator'!$X$21,O56*'Technology Assumptions'!D$34,IF('Bioenergy Calculator'!$B$4='Bioenergy Calculator'!$X$20,'Bioenergy Calculator'!O56*'Technology Assumptions'!D$36,IF('Bioenergy Calculator'!$B$4='Bioenergy Calculator'!$X$23,'Bioenergy Calculator'!O56*'Technology Assumptions'!D$35,IF('Bioenergy Calculator'!$B$4='Bioenergy Calculator'!$X$22,'Bioenergy Calculator'!O56*'Technology Assumptions'!D$37,'Bioenergy Calculator'!O56)))))</f>
        <v>0</v>
      </c>
      <c r="T56" s="16">
        <f>IF($B$4=$X$19,P56*'Technology Assumptions'!E$34,IF('Bioenergy Calculator'!$B$4='Bioenergy Calculator'!$X$21,P56*'Technology Assumptions'!E$34,IF('Bioenergy Calculator'!$B$4='Bioenergy Calculator'!$X$20,'Bioenergy Calculator'!P56*'Technology Assumptions'!E$36,IF('Bioenergy Calculator'!$B$4='Bioenergy Calculator'!$X$23,'Bioenergy Calculator'!P56*'Technology Assumptions'!E$35,IF('Bioenergy Calculator'!$B$4='Bioenergy Calculator'!$X$22,'Bioenergy Calculator'!P56*'Technology Assumptions'!E$37,'Bioenergy Calculator'!P56)))))</f>
        <v>0</v>
      </c>
    </row>
    <row r="57" spans="1:20" x14ac:dyDescent="0.25">
      <c r="A57" s="1064"/>
      <c r="B57" s="12" t="s">
        <v>545</v>
      </c>
      <c r="C57" s="294">
        <f>SUM(Atlantic!C54,Bergen!C54,Burlington!C54,Camden!C54,'Cape May'!C54,Cumberland!C54,Essex!C54,Gloucester!C54,Hudson!C54,Hunterdon!C54,Mercer!C54,Middlesex!C54,Monmouth!C54,Morris!C54,Ocean!C54,Passaic!C54,Salem!C54,Somerset!C54,Sussex!C54,Union!C54,Warren!C54)</f>
        <v>109693.2556375</v>
      </c>
      <c r="D57" s="294">
        <f>E57*'Conversion Tables'!C47</f>
        <v>971706.73573922995</v>
      </c>
      <c r="E57" s="294">
        <f>SUM(Atlantic!E54,Bergen!E54,Burlington!E54,Camden!E54,'Cape May'!E54,Cumberland!E54,Essex!E54,Gloucester!E54,Hudson!E54,Hunterdon!E54,Mercer!E54,Middlesex!E54,Monmouth!E54,Morris!E54,Ocean!E54,Passaic!E54,Salem!E54,Somerset!E54,Sussex!E54,Union!E54,Warren!E54)</f>
        <v>65815.953382499996</v>
      </c>
      <c r="F57" s="294">
        <f>SUM(Atlantic!F54,Bergen!F54,Burlington!F54,Camden!F54,'Cape May'!F54,Cumberland!F54,Essex!F54,Gloucester!F54,Hudson!F54,Hunterdon!F54,Mercer!F54,Middlesex!F54,Monmouth!F54,Morris!F54,Ocean!F54,Passaic!F54,Salem!F54,Somerset!F54,Sussex!F54,Union!F54,Warren!F54)</f>
        <v>65815.953382499996</v>
      </c>
      <c r="G57" s="294">
        <f>SUM(Atlantic!G54,Bergen!G54,Burlington!G54,Camden!G54,'Cape May'!G54,Cumberland!G54,Essex!G54,Gloucester!G54,Hudson!G54,Hunterdon!G54,Mercer!G54,Middlesex!G54,Monmouth!G54,Morris!G54,Ocean!G54,Passaic!G54,Salem!G54,Somerset!G54,Sussex!G54,Union!G54,Warren!G54)</f>
        <v>65815.953382499996</v>
      </c>
      <c r="H57" s="294">
        <f>SUM(Atlantic!H54,Bergen!H54,Burlington!H54,Camden!H54,'Cape May'!H54,Cumberland!H54,Essex!H54,Gloucester!H54,Hudson!H54,Hunterdon!H54,Mercer!H54,Middlesex!H54,Monmouth!H54,Morris!H54,Ocean!H54,Passaic!H54,Salem!H54,Somerset!H54,Sussex!H54,Union!H54,Warren!H54)</f>
        <v>65815.953382499996</v>
      </c>
      <c r="I57" s="16">
        <f>SUM(Atlantic!I54,Bergen!I54,Burlington!I54,Camden!I54,'Cape May'!I54,Cumberland!I54,Essex!I54,Gloucester!I54,Hudson!I54,Hunterdon!I54,Mercer!I54,Middlesex!I54,Monmouth!I54,Morris!I54,Ocean!I54,Passaic!I54,Salem!I54,Somerset!I54,Sussex!I54,Union!I54,Warren!I54)</f>
        <v>0</v>
      </c>
      <c r="J57" s="16">
        <f>SUM(Atlantic!J54,Bergen!J54,Burlington!J54,Camden!J54,'Cape May'!J54,Cumberland!J54,Essex!J54,Gloucester!J54,Hudson!J54,Hunterdon!J54,Mercer!J54,Middlesex!J54,Monmouth!J54,Morris!J54,Ocean!J54,Passaic!J54,Salem!J54,Somerset!J54,Sussex!J54,Union!J54,Warren!J54)</f>
        <v>0</v>
      </c>
      <c r="K57" s="16">
        <f>SUM(Atlantic!K54,Bergen!K54,Burlington!K54,Camden!K54,'Cape May'!K54,Cumberland!K54,Essex!K54,Gloucester!K54,Hudson!K54,Hunterdon!K54,Mercer!K54,Middlesex!K54,Monmouth!K54,Morris!K54,Ocean!K54,Passaic!K54,Salem!K54,Somerset!K54,Sussex!K54,Union!K54,Warren!K54)</f>
        <v>0</v>
      </c>
      <c r="L57" s="16">
        <f>SUM(Atlantic!L54,Bergen!L54,Burlington!L54,Camden!L54,'Cape May'!L54,Cumberland!L54,Essex!L54,Gloucester!L54,Hudson!L54,Hunterdon!L54,Mercer!L54,Middlesex!L54,Monmouth!L54,Morris!L54,Ocean!L54,Passaic!L54,Salem!L54,Somerset!L54,Sussex!L54,Union!L54,Warren!L54)</f>
        <v>0</v>
      </c>
      <c r="M57" s="16">
        <f>SUM(Atlantic!M54,Bergen!M54,Burlington!M54,Camden!M54,'Cape May'!M54,Cumberland!M54,Essex!M54,Gloucester!M54,Hudson!M54,Hunterdon!M54,Mercer!M54,Middlesex!M54,Monmouth!M54,Morris!M54,Ocean!M54,Passaic!M54,Salem!M54,Somerset!M54,Sussex!M54,Union!M54,Warren!M54)</f>
        <v>0</v>
      </c>
      <c r="N57" s="16">
        <f>SUM(Atlantic!N54,Bergen!N54,Burlington!N54,Camden!N54,'Cape May'!N54,Cumberland!N54,Essex!N54,Gloucester!N54,Hudson!N54,Hunterdon!N54,Mercer!N54,Middlesex!N54,Monmouth!N54,Morris!N54,Ocean!N54,Passaic!N54,Salem!N54,Somerset!N54,Sussex!N54,Union!N54,Warren!N54)</f>
        <v>0</v>
      </c>
      <c r="O57" s="16">
        <f>SUM(Atlantic!O54,Bergen!O54,Burlington!O54,Camden!O54,'Cape May'!O54,Cumberland!O54,Essex!O54,Gloucester!O54,Hudson!O54,Hunterdon!O54,Mercer!O54,Middlesex!O54,Monmouth!O54,Morris!O54,Ocean!O54,Passaic!O54,Salem!O54,Somerset!O54,Sussex!O54,Union!O54,Warren!O54)</f>
        <v>0</v>
      </c>
      <c r="P57" s="16">
        <f>SUM(Atlantic!P54,Bergen!P54,Burlington!P54,Camden!P54,'Cape May'!P54,Cumberland!P54,Essex!P54,Gloucester!P54,Hudson!P54,Hunterdon!P54,Mercer!P54,Middlesex!P54,Monmouth!P54,Morris!P54,Ocean!P54,Passaic!P54,Salem!P54,Somerset!P54,Sussex!P54,Union!P54,Warren!P54)</f>
        <v>0</v>
      </c>
      <c r="Q57" s="16">
        <f>IF($B$4=$X$19,M57*'Technology Assumptions'!B$34,IF('Bioenergy Calculator'!$B$4='Bioenergy Calculator'!$X$21,M57*'Technology Assumptions'!B$34,IF('Bioenergy Calculator'!$B$4='Bioenergy Calculator'!$X$20,'Bioenergy Calculator'!M57*'Technology Assumptions'!B$36,IF('Bioenergy Calculator'!$B$4='Bioenergy Calculator'!$X$23,'Bioenergy Calculator'!M57*'Technology Assumptions'!B$35,IF('Bioenergy Calculator'!$B$4='Bioenergy Calculator'!$X$22,'Bioenergy Calculator'!M57*'Technology Assumptions'!B$37,'Bioenergy Calculator'!M57)))))</f>
        <v>0</v>
      </c>
      <c r="R57" s="16">
        <f>IF($B$4=$X$19,N57*'Technology Assumptions'!C$34,IF('Bioenergy Calculator'!$B$4='Bioenergy Calculator'!$X$21,N57*'Technology Assumptions'!C$34,IF('Bioenergy Calculator'!$B$4='Bioenergy Calculator'!$X$20,'Bioenergy Calculator'!N57*'Technology Assumptions'!C$36,IF('Bioenergy Calculator'!$B$4='Bioenergy Calculator'!$X$23,'Bioenergy Calculator'!N57*'Technology Assumptions'!C$35,IF('Bioenergy Calculator'!$B$4='Bioenergy Calculator'!$X$22,'Bioenergy Calculator'!N57*'Technology Assumptions'!C$37,'Bioenergy Calculator'!N57)))))</f>
        <v>0</v>
      </c>
      <c r="S57" s="16">
        <f>IF($B$4=$X$19,O57*'Technology Assumptions'!D$34,IF('Bioenergy Calculator'!$B$4='Bioenergy Calculator'!$X$21,O57*'Technology Assumptions'!D$34,IF('Bioenergy Calculator'!$B$4='Bioenergy Calculator'!$X$20,'Bioenergy Calculator'!O57*'Technology Assumptions'!D$36,IF('Bioenergy Calculator'!$B$4='Bioenergy Calculator'!$X$23,'Bioenergy Calculator'!O57*'Technology Assumptions'!D$35,IF('Bioenergy Calculator'!$B$4='Bioenergy Calculator'!$X$22,'Bioenergy Calculator'!O57*'Technology Assumptions'!D$37,'Bioenergy Calculator'!O57)))))</f>
        <v>0</v>
      </c>
      <c r="T57" s="16">
        <f>IF($B$4=$X$19,P57*'Technology Assumptions'!E$34,IF('Bioenergy Calculator'!$B$4='Bioenergy Calculator'!$X$21,P57*'Technology Assumptions'!E$34,IF('Bioenergy Calculator'!$B$4='Bioenergy Calculator'!$X$20,'Bioenergy Calculator'!P57*'Technology Assumptions'!E$36,IF('Bioenergy Calculator'!$B$4='Bioenergy Calculator'!$X$23,'Bioenergy Calculator'!P57*'Technology Assumptions'!E$35,IF('Bioenergy Calculator'!$B$4='Bioenergy Calculator'!$X$22,'Bioenergy Calculator'!P57*'Technology Assumptions'!E$37,'Bioenergy Calculator'!P57)))))</f>
        <v>0</v>
      </c>
    </row>
    <row r="58" spans="1:20" x14ac:dyDescent="0.25">
      <c r="A58" s="1064"/>
      <c r="B58" s="12" t="s">
        <v>546</v>
      </c>
      <c r="C58" s="294">
        <f>SUM(Atlantic!C55,Bergen!C55,Burlington!C55,Camden!C55,'Cape May'!C55,Cumberland!C55,Essex!C55,Gloucester!C55,Hudson!C55,Hunterdon!C55,Mercer!C55,Middlesex!C55,Monmouth!C55,Morris!C55,Ocean!C55,Passaic!C55,Salem!C55,Somerset!C55,Sussex!C55,Union!C55,Warren!C55)</f>
        <v>5393.7802000000001</v>
      </c>
      <c r="D58" s="294">
        <f>E58*'Conversion Tables'!C48</f>
        <v>15926.754174560003</v>
      </c>
      <c r="E58" s="294">
        <f>SUM(Atlantic!E55,Bergen!E55,Burlington!E55,Camden!E55,'Cape May'!E55,Cumberland!E55,Essex!E55,Gloucester!E55,Hudson!E55,Hunterdon!E55,Mercer!E55,Middlesex!E55,Monmouth!E55,Morris!E55,Ocean!E55,Passaic!E55,Salem!E55,Somerset!E55,Sussex!E55,Union!E55,Warren!E55)</f>
        <v>1078.7560400000002</v>
      </c>
      <c r="F58" s="294">
        <f>SUM(Atlantic!F55,Bergen!F55,Burlington!F55,Camden!F55,'Cape May'!F55,Cumberland!F55,Essex!F55,Gloucester!F55,Hudson!F55,Hunterdon!F55,Mercer!F55,Middlesex!F55,Monmouth!F55,Morris!F55,Ocean!F55,Passaic!F55,Salem!F55,Somerset!F55,Sussex!F55,Union!F55,Warren!F55)</f>
        <v>1078.7560400000002</v>
      </c>
      <c r="G58" s="294">
        <f>SUM(Atlantic!G55,Bergen!G55,Burlington!G55,Camden!G55,'Cape May'!G55,Cumberland!G55,Essex!G55,Gloucester!G55,Hudson!G55,Hunterdon!G55,Mercer!G55,Middlesex!G55,Monmouth!G55,Morris!G55,Ocean!G55,Passaic!G55,Salem!G55,Somerset!G55,Sussex!G55,Union!G55,Warren!G55)</f>
        <v>1078.7560400000002</v>
      </c>
      <c r="H58" s="294">
        <f>SUM(Atlantic!H55,Bergen!H55,Burlington!H55,Camden!H55,'Cape May'!H55,Cumberland!H55,Essex!H55,Gloucester!H55,Hudson!H55,Hunterdon!H55,Mercer!H55,Middlesex!H55,Monmouth!H55,Morris!H55,Ocean!H55,Passaic!H55,Salem!H55,Somerset!H55,Sussex!H55,Union!H55,Warren!H55)</f>
        <v>1078.7560400000002</v>
      </c>
      <c r="I58" s="16">
        <f>SUM(Atlantic!I55,Bergen!I55,Burlington!I55,Camden!I55,'Cape May'!I55,Cumberland!I55,Essex!I55,Gloucester!I55,Hudson!I55,Hunterdon!I55,Mercer!I55,Middlesex!I55,Monmouth!I55,Morris!I55,Ocean!I55,Passaic!I55,Salem!I55,Somerset!I55,Sussex!I55,Union!I55,Warren!I55)</f>
        <v>0</v>
      </c>
      <c r="J58" s="16">
        <f>SUM(Atlantic!J55,Bergen!J55,Burlington!J55,Camden!J55,'Cape May'!J55,Cumberland!J55,Essex!J55,Gloucester!J55,Hudson!J55,Hunterdon!J55,Mercer!J55,Middlesex!J55,Monmouth!J55,Morris!J55,Ocean!J55,Passaic!J55,Salem!J55,Somerset!J55,Sussex!J55,Union!J55,Warren!J55)</f>
        <v>0</v>
      </c>
      <c r="K58" s="16">
        <f>SUM(Atlantic!K55,Bergen!K55,Burlington!K55,Camden!K55,'Cape May'!K55,Cumberland!K55,Essex!K55,Gloucester!K55,Hudson!K55,Hunterdon!K55,Mercer!K55,Middlesex!K55,Monmouth!K55,Morris!K55,Ocean!K55,Passaic!K55,Salem!K55,Somerset!K55,Sussex!K55,Union!K55,Warren!K55)</f>
        <v>0</v>
      </c>
      <c r="L58" s="16">
        <f>SUM(Atlantic!L55,Bergen!L55,Burlington!L55,Camden!L55,'Cape May'!L55,Cumberland!L55,Essex!L55,Gloucester!L55,Hudson!L55,Hunterdon!L55,Mercer!L55,Middlesex!L55,Monmouth!L55,Morris!L55,Ocean!L55,Passaic!L55,Salem!L55,Somerset!L55,Sussex!L55,Union!L55,Warren!L55)</f>
        <v>0</v>
      </c>
      <c r="M58" s="16">
        <f>SUM(Atlantic!M55,Bergen!M55,Burlington!M55,Camden!M55,'Cape May'!M55,Cumberland!M55,Essex!M55,Gloucester!M55,Hudson!M55,Hunterdon!M55,Mercer!M55,Middlesex!M55,Monmouth!M55,Morris!M55,Ocean!M55,Passaic!M55,Salem!M55,Somerset!M55,Sussex!M55,Union!M55,Warren!M55)</f>
        <v>0</v>
      </c>
      <c r="N58" s="16">
        <f>SUM(Atlantic!N55,Bergen!N55,Burlington!N55,Camden!N55,'Cape May'!N55,Cumberland!N55,Essex!N55,Gloucester!N55,Hudson!N55,Hunterdon!N55,Mercer!N55,Middlesex!N55,Monmouth!N55,Morris!N55,Ocean!N55,Passaic!N55,Salem!N55,Somerset!N55,Sussex!N55,Union!N55,Warren!N55)</f>
        <v>0</v>
      </c>
      <c r="O58" s="16">
        <f>SUM(Atlantic!O55,Bergen!O55,Burlington!O55,Camden!O55,'Cape May'!O55,Cumberland!O55,Essex!O55,Gloucester!O55,Hudson!O55,Hunterdon!O55,Mercer!O55,Middlesex!O55,Monmouth!O55,Morris!O55,Ocean!O55,Passaic!O55,Salem!O55,Somerset!O55,Sussex!O55,Union!O55,Warren!O55)</f>
        <v>0</v>
      </c>
      <c r="P58" s="16">
        <f>SUM(Atlantic!P55,Bergen!P55,Burlington!P55,Camden!P55,'Cape May'!P55,Cumberland!P55,Essex!P55,Gloucester!P55,Hudson!P55,Hunterdon!P55,Mercer!P55,Middlesex!P55,Monmouth!P55,Morris!P55,Ocean!P55,Passaic!P55,Salem!P55,Somerset!P55,Sussex!P55,Union!P55,Warren!P55)</f>
        <v>0</v>
      </c>
      <c r="Q58" s="16">
        <f>IF($B$4=$X$19,M58*'Technology Assumptions'!B$34,IF('Bioenergy Calculator'!$B$4='Bioenergy Calculator'!$X$21,M58*'Technology Assumptions'!B$34,IF('Bioenergy Calculator'!$B$4='Bioenergy Calculator'!$X$20,'Bioenergy Calculator'!M58*'Technology Assumptions'!B$36,IF('Bioenergy Calculator'!$B$4='Bioenergy Calculator'!$X$23,'Bioenergy Calculator'!M58*'Technology Assumptions'!B$35,IF('Bioenergy Calculator'!$B$4='Bioenergy Calculator'!$X$22,'Bioenergy Calculator'!M58*'Technology Assumptions'!B$37,'Bioenergy Calculator'!M58)))))</f>
        <v>0</v>
      </c>
      <c r="R58" s="16">
        <f>IF($B$4=$X$19,N58*'Technology Assumptions'!C$34,IF('Bioenergy Calculator'!$B$4='Bioenergy Calculator'!$X$21,N58*'Technology Assumptions'!C$34,IF('Bioenergy Calculator'!$B$4='Bioenergy Calculator'!$X$20,'Bioenergy Calculator'!N58*'Technology Assumptions'!C$36,IF('Bioenergy Calculator'!$B$4='Bioenergy Calculator'!$X$23,'Bioenergy Calculator'!N58*'Technology Assumptions'!C$35,IF('Bioenergy Calculator'!$B$4='Bioenergy Calculator'!$X$22,'Bioenergy Calculator'!N58*'Technology Assumptions'!C$37,'Bioenergy Calculator'!N58)))))</f>
        <v>0</v>
      </c>
      <c r="S58" s="16">
        <f>IF($B$4=$X$19,O58*'Technology Assumptions'!D$34,IF('Bioenergy Calculator'!$B$4='Bioenergy Calculator'!$X$21,O58*'Technology Assumptions'!D$34,IF('Bioenergy Calculator'!$B$4='Bioenergy Calculator'!$X$20,'Bioenergy Calculator'!O58*'Technology Assumptions'!D$36,IF('Bioenergy Calculator'!$B$4='Bioenergy Calculator'!$X$23,'Bioenergy Calculator'!O58*'Technology Assumptions'!D$35,IF('Bioenergy Calculator'!$B$4='Bioenergy Calculator'!$X$22,'Bioenergy Calculator'!O58*'Technology Assumptions'!D$37,'Bioenergy Calculator'!O58)))))</f>
        <v>0</v>
      </c>
      <c r="T58" s="16">
        <f>IF($B$4=$X$19,P58*'Technology Assumptions'!E$34,IF('Bioenergy Calculator'!$B$4='Bioenergy Calculator'!$X$21,P58*'Technology Assumptions'!E$34,IF('Bioenergy Calculator'!$B$4='Bioenergy Calculator'!$X$20,'Bioenergy Calculator'!P58*'Technology Assumptions'!E$36,IF('Bioenergy Calculator'!$B$4='Bioenergy Calculator'!$X$23,'Bioenergy Calculator'!P58*'Technology Assumptions'!E$35,IF('Bioenergy Calculator'!$B$4='Bioenergy Calculator'!$X$22,'Bioenergy Calculator'!P58*'Technology Assumptions'!E$37,'Bioenergy Calculator'!P58)))))</f>
        <v>0</v>
      </c>
    </row>
    <row r="59" spans="1:20" x14ac:dyDescent="0.25">
      <c r="A59" s="1064"/>
      <c r="B59" s="12" t="s">
        <v>547</v>
      </c>
      <c r="C59" s="294">
        <f>SUM(Atlantic!C56,Bergen!C56,Burlington!C56,Camden!C56,'Cape May'!C56,Cumberland!C56,Essex!C56,Gloucester!C56,Hudson!C56,Hunterdon!C56,Mercer!C56,Middlesex!C56,Monmouth!C56,Morris!C56,Ocean!C56,Passaic!C56,Salem!C56,Somerset!C56,Sussex!C56,Union!C56,Warren!C56)</f>
        <v>2818.0098749999997</v>
      </c>
      <c r="D59" s="294">
        <f>E59*'Conversion Tables'!C49</f>
        <v>8321.0195588999995</v>
      </c>
      <c r="E59" s="294">
        <f>SUM(Atlantic!E56,Bergen!E56,Burlington!E56,Camden!E56,'Cape May'!E56,Cumberland!E56,Essex!E56,Gloucester!E56,Hudson!E56,Hunterdon!E56,Mercer!E56,Middlesex!E56,Monmouth!E56,Morris!E56,Ocean!E56,Passaic!E56,Salem!E56,Somerset!E56,Sussex!E56,Union!E56,Warren!E56)</f>
        <v>563.60197500000004</v>
      </c>
      <c r="F59" s="294">
        <f>SUM(Atlantic!F56,Bergen!F56,Burlington!F56,Camden!F56,'Cape May'!F56,Cumberland!F56,Essex!F56,Gloucester!F56,Hudson!F56,Hunterdon!F56,Mercer!F56,Middlesex!F56,Monmouth!F56,Morris!F56,Ocean!F56,Passaic!F56,Salem!F56,Somerset!F56,Sussex!F56,Union!F56,Warren!F56)</f>
        <v>563.60197500000004</v>
      </c>
      <c r="G59" s="294">
        <f>SUM(Atlantic!G56,Bergen!G56,Burlington!G56,Camden!G56,'Cape May'!G56,Cumberland!G56,Essex!G56,Gloucester!G56,Hudson!G56,Hunterdon!G56,Mercer!G56,Middlesex!G56,Monmouth!G56,Morris!G56,Ocean!G56,Passaic!G56,Salem!G56,Somerset!G56,Sussex!G56,Union!G56,Warren!G56)</f>
        <v>563.60197500000004</v>
      </c>
      <c r="H59" s="294">
        <f>SUM(Atlantic!H56,Bergen!H56,Burlington!H56,Camden!H56,'Cape May'!H56,Cumberland!H56,Essex!H56,Gloucester!H56,Hudson!H56,Hunterdon!H56,Mercer!H56,Middlesex!H56,Monmouth!H56,Morris!H56,Ocean!H56,Passaic!H56,Salem!H56,Somerset!H56,Sussex!H56,Union!H56,Warren!H56)</f>
        <v>563.60197500000004</v>
      </c>
      <c r="I59" s="16">
        <f>SUM(Atlantic!I56,Bergen!I56,Burlington!I56,Camden!I56,'Cape May'!I56,Cumberland!I56,Essex!I56,Gloucester!I56,Hudson!I56,Hunterdon!I56,Mercer!I56,Middlesex!I56,Monmouth!I56,Morris!I56,Ocean!I56,Passaic!I56,Salem!I56,Somerset!I56,Sussex!I56,Union!I56,Warren!I56)</f>
        <v>0</v>
      </c>
      <c r="J59" s="16">
        <f>SUM(Atlantic!J56,Bergen!J56,Burlington!J56,Camden!J56,'Cape May'!J56,Cumberland!J56,Essex!J56,Gloucester!J56,Hudson!J56,Hunterdon!J56,Mercer!J56,Middlesex!J56,Monmouth!J56,Morris!J56,Ocean!J56,Passaic!J56,Salem!J56,Somerset!J56,Sussex!J56,Union!J56,Warren!J56)</f>
        <v>0</v>
      </c>
      <c r="K59" s="16">
        <f>SUM(Atlantic!K56,Bergen!K56,Burlington!K56,Camden!K56,'Cape May'!K56,Cumberland!K56,Essex!K56,Gloucester!K56,Hudson!K56,Hunterdon!K56,Mercer!K56,Middlesex!K56,Monmouth!K56,Morris!K56,Ocean!K56,Passaic!K56,Salem!K56,Somerset!K56,Sussex!K56,Union!K56,Warren!K56)</f>
        <v>0</v>
      </c>
      <c r="L59" s="16">
        <f>SUM(Atlantic!L56,Bergen!L56,Burlington!L56,Camden!L56,'Cape May'!L56,Cumberland!L56,Essex!L56,Gloucester!L56,Hudson!L56,Hunterdon!L56,Mercer!L56,Middlesex!L56,Monmouth!L56,Morris!L56,Ocean!L56,Passaic!L56,Salem!L56,Somerset!L56,Sussex!L56,Union!L56,Warren!L56)</f>
        <v>0</v>
      </c>
      <c r="M59" s="16">
        <f>SUM(Atlantic!M56,Bergen!M56,Burlington!M56,Camden!M56,'Cape May'!M56,Cumberland!M56,Essex!M56,Gloucester!M56,Hudson!M56,Hunterdon!M56,Mercer!M56,Middlesex!M56,Monmouth!M56,Morris!M56,Ocean!M56,Passaic!M56,Salem!M56,Somerset!M56,Sussex!M56,Union!M56,Warren!M56)</f>
        <v>0</v>
      </c>
      <c r="N59" s="16">
        <f>SUM(Atlantic!N56,Bergen!N56,Burlington!N56,Camden!N56,'Cape May'!N56,Cumberland!N56,Essex!N56,Gloucester!N56,Hudson!N56,Hunterdon!N56,Mercer!N56,Middlesex!N56,Monmouth!N56,Morris!N56,Ocean!N56,Passaic!N56,Salem!N56,Somerset!N56,Sussex!N56,Union!N56,Warren!N56)</f>
        <v>0</v>
      </c>
      <c r="O59" s="16">
        <f>SUM(Atlantic!O56,Bergen!O56,Burlington!O56,Camden!O56,'Cape May'!O56,Cumberland!O56,Essex!O56,Gloucester!O56,Hudson!O56,Hunterdon!O56,Mercer!O56,Middlesex!O56,Monmouth!O56,Morris!O56,Ocean!O56,Passaic!O56,Salem!O56,Somerset!O56,Sussex!O56,Union!O56,Warren!O56)</f>
        <v>0</v>
      </c>
      <c r="P59" s="16">
        <f>SUM(Atlantic!P56,Bergen!P56,Burlington!P56,Camden!P56,'Cape May'!P56,Cumberland!P56,Essex!P56,Gloucester!P56,Hudson!P56,Hunterdon!P56,Mercer!P56,Middlesex!P56,Monmouth!P56,Morris!P56,Ocean!P56,Passaic!P56,Salem!P56,Somerset!P56,Sussex!P56,Union!P56,Warren!P56)</f>
        <v>0</v>
      </c>
      <c r="Q59" s="16">
        <f>IF($B$4=$X$19,M59*'Technology Assumptions'!B$34,IF('Bioenergy Calculator'!$B$4='Bioenergy Calculator'!$X$21,M59*'Technology Assumptions'!B$34,IF('Bioenergy Calculator'!$B$4='Bioenergy Calculator'!$X$20,'Bioenergy Calculator'!M59*'Technology Assumptions'!B$36,IF('Bioenergy Calculator'!$B$4='Bioenergy Calculator'!$X$23,'Bioenergy Calculator'!M59*'Technology Assumptions'!B$35,IF('Bioenergy Calculator'!$B$4='Bioenergy Calculator'!$X$22,'Bioenergy Calculator'!M59*'Technology Assumptions'!B$37,'Bioenergy Calculator'!M59)))))</f>
        <v>0</v>
      </c>
      <c r="R59" s="16">
        <f>IF($B$4=$X$19,N59*'Technology Assumptions'!C$34,IF('Bioenergy Calculator'!$B$4='Bioenergy Calculator'!$X$21,N59*'Technology Assumptions'!C$34,IF('Bioenergy Calculator'!$B$4='Bioenergy Calculator'!$X$20,'Bioenergy Calculator'!N59*'Technology Assumptions'!C$36,IF('Bioenergy Calculator'!$B$4='Bioenergy Calculator'!$X$23,'Bioenergy Calculator'!N59*'Technology Assumptions'!C$35,IF('Bioenergy Calculator'!$B$4='Bioenergy Calculator'!$X$22,'Bioenergy Calculator'!N59*'Technology Assumptions'!C$37,'Bioenergy Calculator'!N59)))))</f>
        <v>0</v>
      </c>
      <c r="S59" s="16">
        <f>IF($B$4=$X$19,O59*'Technology Assumptions'!D$34,IF('Bioenergy Calculator'!$B$4='Bioenergy Calculator'!$X$21,O59*'Technology Assumptions'!D$34,IF('Bioenergy Calculator'!$B$4='Bioenergy Calculator'!$X$20,'Bioenergy Calculator'!O59*'Technology Assumptions'!D$36,IF('Bioenergy Calculator'!$B$4='Bioenergy Calculator'!$X$23,'Bioenergy Calculator'!O59*'Technology Assumptions'!D$35,IF('Bioenergy Calculator'!$B$4='Bioenergy Calculator'!$X$22,'Bioenergy Calculator'!O59*'Technology Assumptions'!D$37,'Bioenergy Calculator'!O59)))))</f>
        <v>0</v>
      </c>
      <c r="T59" s="16">
        <f>IF($B$4=$X$19,P59*'Technology Assumptions'!E$34,IF('Bioenergy Calculator'!$B$4='Bioenergy Calculator'!$X$21,P59*'Technology Assumptions'!E$34,IF('Bioenergy Calculator'!$B$4='Bioenergy Calculator'!$X$20,'Bioenergy Calculator'!P59*'Technology Assumptions'!E$36,IF('Bioenergy Calculator'!$B$4='Bioenergy Calculator'!$X$23,'Bioenergy Calculator'!P59*'Technology Assumptions'!E$35,IF('Bioenergy Calculator'!$B$4='Bioenergy Calculator'!$X$22,'Bioenergy Calculator'!P59*'Technology Assumptions'!E$37,'Bioenergy Calculator'!P59)))))</f>
        <v>0</v>
      </c>
    </row>
    <row r="60" spans="1:20" x14ac:dyDescent="0.25">
      <c r="A60" s="1064"/>
      <c r="B60" s="133" t="s">
        <v>605</v>
      </c>
      <c r="C60" s="294">
        <f>SUM(Atlantic!C57,Bergen!C57,Burlington!C57,Camden!C57,'Cape May'!C57,Cumberland!C57,Essex!C57,Gloucester!C57,Hudson!C57,Hunterdon!C57,Mercer!C57,Middlesex!C57,Monmouth!C57,Morris!C57,Ocean!C57,Passaic!C57,Salem!C57,Somerset!C57,Sussex!C57,Union!C57,Warren!C57)</f>
        <v>3209.7005000000004</v>
      </c>
      <c r="D60" s="294">
        <f>E60*'Conversion Tables'!C50</f>
        <v>23694.009091</v>
      </c>
      <c r="E60" s="294">
        <f>SUM(Atlantic!E57,Bergen!E57,Burlington!E57,Camden!E57,'Cape May'!E57,Cumberland!E57,Essex!E57,Gloucester!E57,Hudson!E57,Hunterdon!E57,Mercer!E57,Middlesex!E57,Monmouth!E57,Morris!E57,Ocean!E57,Passaic!E57,Salem!E57,Somerset!E57,Sussex!E57,Union!E57,Warren!E57)</f>
        <v>1604.8502500000002</v>
      </c>
      <c r="F60" s="294">
        <f>SUM(Atlantic!F57,Bergen!F57,Burlington!F57,Camden!F57,'Cape May'!F57,Cumberland!F57,Essex!F57,Gloucester!F57,Hudson!F57,Hunterdon!F57,Mercer!F57,Middlesex!F57,Monmouth!F57,Morris!F57,Ocean!F57,Passaic!F57,Salem!F57,Somerset!F57,Sussex!F57,Union!F57,Warren!F57)</f>
        <v>1604.8502500000002</v>
      </c>
      <c r="G60" s="294">
        <f>SUM(Atlantic!G57,Bergen!G57,Burlington!G57,Camden!G57,'Cape May'!G57,Cumberland!G57,Essex!G57,Gloucester!G57,Hudson!G57,Hunterdon!G57,Mercer!G57,Middlesex!G57,Monmouth!G57,Morris!G57,Ocean!G57,Passaic!G57,Salem!G57,Somerset!G57,Sussex!G57,Union!G57,Warren!G57)</f>
        <v>1604.8502500000002</v>
      </c>
      <c r="H60" s="294">
        <f>SUM(Atlantic!H57,Bergen!H57,Burlington!H57,Camden!H57,'Cape May'!H57,Cumberland!H57,Essex!H57,Gloucester!H57,Hudson!H57,Hunterdon!H57,Mercer!H57,Middlesex!H57,Monmouth!H57,Morris!H57,Ocean!H57,Passaic!H57,Salem!H57,Somerset!H57,Sussex!H57,Union!H57,Warren!H57)</f>
        <v>1604.8502500000002</v>
      </c>
      <c r="I60" s="16">
        <f>SUM(Atlantic!I57,Bergen!I57,Burlington!I57,Camden!I57,'Cape May'!I57,Cumberland!I57,Essex!I57,Gloucester!I57,Hudson!I57,Hunterdon!I57,Mercer!I57,Middlesex!I57,Monmouth!I57,Morris!I57,Ocean!I57,Passaic!I57,Salem!I57,Somerset!I57,Sussex!I57,Union!I57,Warren!I57)</f>
        <v>0</v>
      </c>
      <c r="J60" s="16">
        <f>SUM(Atlantic!J57,Bergen!J57,Burlington!J57,Camden!J57,'Cape May'!J57,Cumberland!J57,Essex!J57,Gloucester!J57,Hudson!J57,Hunterdon!J57,Mercer!J57,Middlesex!J57,Monmouth!J57,Morris!J57,Ocean!J57,Passaic!J57,Salem!J57,Somerset!J57,Sussex!J57,Union!J57,Warren!J57)</f>
        <v>0</v>
      </c>
      <c r="K60" s="16">
        <f>SUM(Atlantic!K57,Bergen!K57,Burlington!K57,Camden!K57,'Cape May'!K57,Cumberland!K57,Essex!K57,Gloucester!K57,Hudson!K57,Hunterdon!K57,Mercer!K57,Middlesex!K57,Monmouth!K57,Morris!K57,Ocean!K57,Passaic!K57,Salem!K57,Somerset!K57,Sussex!K57,Union!K57,Warren!K57)</f>
        <v>0</v>
      </c>
      <c r="L60" s="16">
        <f>SUM(Atlantic!L57,Bergen!L57,Burlington!L57,Camden!L57,'Cape May'!L57,Cumberland!L57,Essex!L57,Gloucester!L57,Hudson!L57,Hunterdon!L57,Mercer!L57,Middlesex!L57,Monmouth!L57,Morris!L57,Ocean!L57,Passaic!L57,Salem!L57,Somerset!L57,Sussex!L57,Union!L57,Warren!L57)</f>
        <v>0</v>
      </c>
      <c r="M60" s="16">
        <f>SUM(Atlantic!M57,Bergen!M57,Burlington!M57,Camden!M57,'Cape May'!M57,Cumberland!M57,Essex!M57,Gloucester!M57,Hudson!M57,Hunterdon!M57,Mercer!M57,Middlesex!M57,Monmouth!M57,Morris!M57,Ocean!M57,Passaic!M57,Salem!M57,Somerset!M57,Sussex!M57,Union!M57,Warren!M57)</f>
        <v>0</v>
      </c>
      <c r="N60" s="16">
        <f>SUM(Atlantic!N57,Bergen!N57,Burlington!N57,Camden!N57,'Cape May'!N57,Cumberland!N57,Essex!N57,Gloucester!N57,Hudson!N57,Hunterdon!N57,Mercer!N57,Middlesex!N57,Monmouth!N57,Morris!N57,Ocean!N57,Passaic!N57,Salem!N57,Somerset!N57,Sussex!N57,Union!N57,Warren!N57)</f>
        <v>0</v>
      </c>
      <c r="O60" s="16">
        <f>SUM(Atlantic!O57,Bergen!O57,Burlington!O57,Camden!O57,'Cape May'!O57,Cumberland!O57,Essex!O57,Gloucester!O57,Hudson!O57,Hunterdon!O57,Mercer!O57,Middlesex!O57,Monmouth!O57,Morris!O57,Ocean!O57,Passaic!O57,Salem!O57,Somerset!O57,Sussex!O57,Union!O57,Warren!O57)</f>
        <v>0</v>
      </c>
      <c r="P60" s="16">
        <f>SUM(Atlantic!P57,Bergen!P57,Burlington!P57,Camden!P57,'Cape May'!P57,Cumberland!P57,Essex!P57,Gloucester!P57,Hudson!P57,Hunterdon!P57,Mercer!P57,Middlesex!P57,Monmouth!P57,Morris!P57,Ocean!P57,Passaic!P57,Salem!P57,Somerset!P57,Sussex!P57,Union!P57,Warren!P57)</f>
        <v>0</v>
      </c>
      <c r="Q60" s="16">
        <f>IF($B$4=$X$19,M60*'Technology Assumptions'!B$34,IF('Bioenergy Calculator'!$B$4='Bioenergy Calculator'!$X$21,M60*'Technology Assumptions'!B$34,IF('Bioenergy Calculator'!$B$4='Bioenergy Calculator'!$X$20,'Bioenergy Calculator'!M60*'Technology Assumptions'!B$36,IF('Bioenergy Calculator'!$B$4='Bioenergy Calculator'!$X$23,'Bioenergy Calculator'!M60*'Technology Assumptions'!B$35,IF('Bioenergy Calculator'!$B$4='Bioenergy Calculator'!$X$22,'Bioenergy Calculator'!M60*'Technology Assumptions'!B$37,'Bioenergy Calculator'!M60)))))</f>
        <v>0</v>
      </c>
      <c r="R60" s="16">
        <f>IF($B$4=$X$19,N60*'Technology Assumptions'!C$34,IF('Bioenergy Calculator'!$B$4='Bioenergy Calculator'!$X$21,N60*'Technology Assumptions'!C$34,IF('Bioenergy Calculator'!$B$4='Bioenergy Calculator'!$X$20,'Bioenergy Calculator'!N60*'Technology Assumptions'!C$36,IF('Bioenergy Calculator'!$B$4='Bioenergy Calculator'!$X$23,'Bioenergy Calculator'!N60*'Technology Assumptions'!C$35,IF('Bioenergy Calculator'!$B$4='Bioenergy Calculator'!$X$22,'Bioenergy Calculator'!N60*'Technology Assumptions'!C$37,'Bioenergy Calculator'!N60)))))</f>
        <v>0</v>
      </c>
      <c r="S60" s="16">
        <f>IF($B$4=$X$19,O60*'Technology Assumptions'!D$34,IF('Bioenergy Calculator'!$B$4='Bioenergy Calculator'!$X$21,O60*'Technology Assumptions'!D$34,IF('Bioenergy Calculator'!$B$4='Bioenergy Calculator'!$X$20,'Bioenergy Calculator'!O60*'Technology Assumptions'!D$36,IF('Bioenergy Calculator'!$B$4='Bioenergy Calculator'!$X$23,'Bioenergy Calculator'!O60*'Technology Assumptions'!D$35,IF('Bioenergy Calculator'!$B$4='Bioenergy Calculator'!$X$22,'Bioenergy Calculator'!O60*'Technology Assumptions'!D$37,'Bioenergy Calculator'!O60)))))</f>
        <v>0</v>
      </c>
      <c r="T60" s="16">
        <f>IF($B$4=$X$19,P60*'Technology Assumptions'!E$34,IF('Bioenergy Calculator'!$B$4='Bioenergy Calculator'!$X$21,P60*'Technology Assumptions'!E$34,IF('Bioenergy Calculator'!$B$4='Bioenergy Calculator'!$X$20,'Bioenergy Calculator'!P60*'Technology Assumptions'!E$36,IF('Bioenergy Calculator'!$B$4='Bioenergy Calculator'!$X$23,'Bioenergy Calculator'!P60*'Technology Assumptions'!E$35,IF('Bioenergy Calculator'!$B$4='Bioenergy Calculator'!$X$22,'Bioenergy Calculator'!P60*'Technology Assumptions'!E$37,'Bioenergy Calculator'!P60)))))</f>
        <v>0</v>
      </c>
    </row>
    <row r="61" spans="1:20" x14ac:dyDescent="0.25">
      <c r="A61" s="1064"/>
      <c r="B61" s="12" t="s">
        <v>551</v>
      </c>
      <c r="C61" s="294">
        <f>SUM(Atlantic!C58,Bergen!C58,Burlington!C58,Camden!C58,'Cape May'!C58,Cumberland!C58,Essex!C58,Gloucester!C58,Hudson!C58,Hunterdon!C58,Mercer!C58,Middlesex!C58,Monmouth!C58,Morris!C58,Ocean!C58,Passaic!C58,Salem!C58,Somerset!C58,Sussex!C58,Union!C58,Warren!C58)</f>
        <v>13053.494999999999</v>
      </c>
      <c r="D61" s="294">
        <f>E61*'Conversion Tables'!C51</f>
        <v>156641.94</v>
      </c>
      <c r="E61" s="294">
        <f>SUM(Atlantic!E58,Bergen!E58,Burlington!E58,Camden!E58,'Cape May'!E58,Cumberland!E58,Essex!E58,Gloucester!E58,Hudson!E58,Hunterdon!E58,Mercer!E58,Middlesex!E58,Monmouth!E58,Morris!E58,Ocean!E58,Passaic!E58,Salem!E58,Somerset!E58,Sussex!E58,Union!E58,Warren!E58)</f>
        <v>13053.494999999999</v>
      </c>
      <c r="F61" s="294">
        <f>SUM(Atlantic!F58,Bergen!F58,Burlington!F58,Camden!F58,'Cape May'!F58,Cumberland!F58,Essex!F58,Gloucester!F58,Hudson!F58,Hunterdon!F58,Mercer!F58,Middlesex!F58,Monmouth!F58,Morris!F58,Ocean!F58,Passaic!F58,Salem!F58,Somerset!F58,Sussex!F58,Union!F58,Warren!F58)</f>
        <v>13053.494999999999</v>
      </c>
      <c r="G61" s="294">
        <f>SUM(Atlantic!G58,Bergen!G58,Burlington!G58,Camden!G58,'Cape May'!G58,Cumberland!G58,Essex!G58,Gloucester!G58,Hudson!G58,Hunterdon!G58,Mercer!G58,Middlesex!G58,Monmouth!G58,Morris!G58,Ocean!G58,Passaic!G58,Salem!G58,Somerset!G58,Sussex!G58,Union!G58,Warren!G58)</f>
        <v>13053.494999999999</v>
      </c>
      <c r="H61" s="294">
        <f>SUM(Atlantic!H58,Bergen!H58,Burlington!H58,Camden!H58,'Cape May'!H58,Cumberland!H58,Essex!H58,Gloucester!H58,Hudson!H58,Hunterdon!H58,Mercer!H58,Middlesex!H58,Monmouth!H58,Morris!H58,Ocean!H58,Passaic!H58,Salem!H58,Somerset!H58,Sussex!H58,Union!H58,Warren!H58)</f>
        <v>13053.494999999999</v>
      </c>
      <c r="I61" s="16">
        <f>SUM(Atlantic!I58,Bergen!I58,Burlington!I58,Camden!I58,'Cape May'!I58,Cumberland!I58,Essex!I58,Gloucester!I58,Hudson!I58,Hunterdon!I58,Mercer!I58,Middlesex!I58,Monmouth!I58,Morris!I58,Ocean!I58,Passaic!I58,Salem!I58,Somerset!I58,Sussex!I58,Union!I58,Warren!I58)</f>
        <v>0</v>
      </c>
      <c r="J61" s="16">
        <f>SUM(Atlantic!J58,Bergen!J58,Burlington!J58,Camden!J58,'Cape May'!J58,Cumberland!J58,Essex!J58,Gloucester!J58,Hudson!J58,Hunterdon!J58,Mercer!J58,Middlesex!J58,Monmouth!J58,Morris!J58,Ocean!J58,Passaic!J58,Salem!J58,Somerset!J58,Sussex!J58,Union!J58,Warren!J58)</f>
        <v>0</v>
      </c>
      <c r="K61" s="16">
        <f>SUM(Atlantic!K58,Bergen!K58,Burlington!K58,Camden!K58,'Cape May'!K58,Cumberland!K58,Essex!K58,Gloucester!K58,Hudson!K58,Hunterdon!K58,Mercer!K58,Middlesex!K58,Monmouth!K58,Morris!K58,Ocean!K58,Passaic!K58,Salem!K58,Somerset!K58,Sussex!K58,Union!K58,Warren!K58)</f>
        <v>0</v>
      </c>
      <c r="L61" s="16">
        <f>SUM(Atlantic!L58,Bergen!L58,Burlington!L58,Camden!L58,'Cape May'!L58,Cumberland!L58,Essex!L58,Gloucester!L58,Hudson!L58,Hunterdon!L58,Mercer!L58,Middlesex!L58,Monmouth!L58,Morris!L58,Ocean!L58,Passaic!L58,Salem!L58,Somerset!L58,Sussex!L58,Union!L58,Warren!L58)</f>
        <v>0</v>
      </c>
      <c r="M61" s="16">
        <f>SUM(Atlantic!M58,Bergen!M58,Burlington!M58,Camden!M58,'Cape May'!M58,Cumberland!M58,Essex!M58,Gloucester!M58,Hudson!M58,Hunterdon!M58,Mercer!M58,Middlesex!M58,Monmouth!M58,Morris!M58,Ocean!M58,Passaic!M58,Salem!M58,Somerset!M58,Sussex!M58,Union!M58,Warren!M58)</f>
        <v>0</v>
      </c>
      <c r="N61" s="16">
        <f>SUM(Atlantic!N58,Bergen!N58,Burlington!N58,Camden!N58,'Cape May'!N58,Cumberland!N58,Essex!N58,Gloucester!N58,Hudson!N58,Hunterdon!N58,Mercer!N58,Middlesex!N58,Monmouth!N58,Morris!N58,Ocean!N58,Passaic!N58,Salem!N58,Somerset!N58,Sussex!N58,Union!N58,Warren!N58)</f>
        <v>0</v>
      </c>
      <c r="O61" s="16">
        <f>SUM(Atlantic!O58,Bergen!O58,Burlington!O58,Camden!O58,'Cape May'!O58,Cumberland!O58,Essex!O58,Gloucester!O58,Hudson!O58,Hunterdon!O58,Mercer!O58,Middlesex!O58,Monmouth!O58,Morris!O58,Ocean!O58,Passaic!O58,Salem!O58,Somerset!O58,Sussex!O58,Union!O58,Warren!O58)</f>
        <v>0</v>
      </c>
      <c r="P61" s="16">
        <f>SUM(Atlantic!P58,Bergen!P58,Burlington!P58,Camden!P58,'Cape May'!P58,Cumberland!P58,Essex!P58,Gloucester!P58,Hudson!P58,Hunterdon!P58,Mercer!P58,Middlesex!P58,Monmouth!P58,Morris!P58,Ocean!P58,Passaic!P58,Salem!P58,Somerset!P58,Sussex!P58,Union!P58,Warren!P58)</f>
        <v>0</v>
      </c>
      <c r="Q61" s="16">
        <f>IF($B$4=$X$19,M61*'Technology Assumptions'!B$34,IF('Bioenergy Calculator'!$B$4='Bioenergy Calculator'!$X$21,M61*'Technology Assumptions'!B$34,IF('Bioenergy Calculator'!$B$4='Bioenergy Calculator'!$X$20,'Bioenergy Calculator'!M61*'Technology Assumptions'!B$36,IF('Bioenergy Calculator'!$B$4='Bioenergy Calculator'!$X$23,'Bioenergy Calculator'!M61*'Technology Assumptions'!B$35,IF('Bioenergy Calculator'!$B$4='Bioenergy Calculator'!$X$22,'Bioenergy Calculator'!M61*'Technology Assumptions'!B$37,'Bioenergy Calculator'!M61)))))</f>
        <v>0</v>
      </c>
      <c r="R61" s="16">
        <f>IF($B$4=$X$19,N61*'Technology Assumptions'!C$34,IF('Bioenergy Calculator'!$B$4='Bioenergy Calculator'!$X$21,N61*'Technology Assumptions'!C$34,IF('Bioenergy Calculator'!$B$4='Bioenergy Calculator'!$X$20,'Bioenergy Calculator'!N61*'Technology Assumptions'!C$36,IF('Bioenergy Calculator'!$B$4='Bioenergy Calculator'!$X$23,'Bioenergy Calculator'!N61*'Technology Assumptions'!C$35,IF('Bioenergy Calculator'!$B$4='Bioenergy Calculator'!$X$22,'Bioenergy Calculator'!N61*'Technology Assumptions'!C$37,'Bioenergy Calculator'!N61)))))</f>
        <v>0</v>
      </c>
      <c r="S61" s="16">
        <f>IF($B$4=$X$19,O61*'Technology Assumptions'!D$34,IF('Bioenergy Calculator'!$B$4='Bioenergy Calculator'!$X$21,O61*'Technology Assumptions'!D$34,IF('Bioenergy Calculator'!$B$4='Bioenergy Calculator'!$X$20,'Bioenergy Calculator'!O61*'Technology Assumptions'!D$36,IF('Bioenergy Calculator'!$B$4='Bioenergy Calculator'!$X$23,'Bioenergy Calculator'!O61*'Technology Assumptions'!D$35,IF('Bioenergy Calculator'!$B$4='Bioenergy Calculator'!$X$22,'Bioenergy Calculator'!O61*'Technology Assumptions'!D$37,'Bioenergy Calculator'!O61)))))</f>
        <v>0</v>
      </c>
      <c r="T61" s="16">
        <f>IF($B$4=$X$19,P61*'Technology Assumptions'!E$34,IF('Bioenergy Calculator'!$B$4='Bioenergy Calculator'!$X$21,P61*'Technology Assumptions'!E$34,IF('Bioenergy Calculator'!$B$4='Bioenergy Calculator'!$X$20,'Bioenergy Calculator'!P61*'Technology Assumptions'!E$36,IF('Bioenergy Calculator'!$B$4='Bioenergy Calculator'!$X$23,'Bioenergy Calculator'!P61*'Technology Assumptions'!E$35,IF('Bioenergy Calculator'!$B$4='Bioenergy Calculator'!$X$22,'Bioenergy Calculator'!P61*'Technology Assumptions'!E$37,'Bioenergy Calculator'!P61)))))</f>
        <v>0</v>
      </c>
    </row>
    <row r="62" spans="1:20" x14ac:dyDescent="0.25">
      <c r="A62" s="1064"/>
      <c r="B62" s="12" t="s">
        <v>552</v>
      </c>
      <c r="C62" s="294">
        <f>SUM(Atlantic!C59,Bergen!C59,Burlington!C59,Camden!C59,'Cape May'!C59,Cumberland!C59,Essex!C59,Gloucester!C59,Hudson!C59,Hunterdon!C59,Mercer!C59,Middlesex!C59,Monmouth!C59,Morris!C59,Ocean!C59,Passaic!C59,Salem!C59,Somerset!C59,Sussex!C59,Union!C59,Warren!C59)</f>
        <v>860.69053125000016</v>
      </c>
      <c r="D62" s="294">
        <f>E62*'Conversion Tables'!C52</f>
        <v>12707.235003375003</v>
      </c>
      <c r="E62" s="294">
        <f>SUM(Atlantic!E59,Bergen!E59,Burlington!E59,Camden!E59,'Cape May'!E59,Cumberland!E59,Essex!E59,Gloucester!E59,Hudson!E59,Hunterdon!E59,Mercer!E59,Middlesex!E59,Monmouth!E59,Morris!E59,Ocean!E59,Passaic!E59,Salem!E59,Somerset!E59,Sussex!E59,Union!E59,Warren!E59)</f>
        <v>860.69053125000016</v>
      </c>
      <c r="F62" s="294">
        <f>SUM(Atlantic!F59,Bergen!F59,Burlington!F59,Camden!F59,'Cape May'!F59,Cumberland!F59,Essex!F59,Gloucester!F59,Hudson!F59,Hunterdon!F59,Mercer!F59,Middlesex!F59,Monmouth!F59,Morris!F59,Ocean!F59,Passaic!F59,Salem!F59,Somerset!F59,Sussex!F59,Union!F59,Warren!F59)</f>
        <v>860.69053125000016</v>
      </c>
      <c r="G62" s="294">
        <f>SUM(Atlantic!G59,Bergen!G59,Burlington!G59,Camden!G59,'Cape May'!G59,Cumberland!G59,Essex!G59,Gloucester!G59,Hudson!G59,Hunterdon!G59,Mercer!G59,Middlesex!G59,Monmouth!G59,Morris!G59,Ocean!G59,Passaic!G59,Salem!G59,Somerset!G59,Sussex!G59,Union!G59,Warren!G59)</f>
        <v>860.69053125000016</v>
      </c>
      <c r="H62" s="294">
        <f>SUM(Atlantic!H59,Bergen!H59,Burlington!H59,Camden!H59,'Cape May'!H59,Cumberland!H59,Essex!H59,Gloucester!H59,Hudson!H59,Hunterdon!H59,Mercer!H59,Middlesex!H59,Monmouth!H59,Morris!H59,Ocean!H59,Passaic!H59,Salem!H59,Somerset!H59,Sussex!H59,Union!H59,Warren!H59)</f>
        <v>860.69053125000016</v>
      </c>
      <c r="I62" s="16">
        <f>SUM(Atlantic!I59,Bergen!I59,Burlington!I59,Camden!I59,'Cape May'!I59,Cumberland!I59,Essex!I59,Gloucester!I59,Hudson!I59,Hunterdon!I59,Mercer!I59,Middlesex!I59,Monmouth!I59,Morris!I59,Ocean!I59,Passaic!I59,Salem!I59,Somerset!I59,Sussex!I59,Union!I59,Warren!I59)</f>
        <v>0</v>
      </c>
      <c r="J62" s="16">
        <f>SUM(Atlantic!J59,Bergen!J59,Burlington!J59,Camden!J59,'Cape May'!J59,Cumberland!J59,Essex!J59,Gloucester!J59,Hudson!J59,Hunterdon!J59,Mercer!J59,Middlesex!J59,Monmouth!J59,Morris!J59,Ocean!J59,Passaic!J59,Salem!J59,Somerset!J59,Sussex!J59,Union!J59,Warren!J59)</f>
        <v>0</v>
      </c>
      <c r="K62" s="16">
        <f>SUM(Atlantic!K59,Bergen!K59,Burlington!K59,Camden!K59,'Cape May'!K59,Cumberland!K59,Essex!K59,Gloucester!K59,Hudson!K59,Hunterdon!K59,Mercer!K59,Middlesex!K59,Monmouth!K59,Morris!K59,Ocean!K59,Passaic!K59,Salem!K59,Somerset!K59,Sussex!K59,Union!K59,Warren!K59)</f>
        <v>0</v>
      </c>
      <c r="L62" s="16">
        <f>SUM(Atlantic!L59,Bergen!L59,Burlington!L59,Camden!L59,'Cape May'!L59,Cumberland!L59,Essex!L59,Gloucester!L59,Hudson!L59,Hunterdon!L59,Mercer!L59,Middlesex!L59,Monmouth!L59,Morris!L59,Ocean!L59,Passaic!L59,Salem!L59,Somerset!L59,Sussex!L59,Union!L59,Warren!L59)</f>
        <v>0</v>
      </c>
      <c r="M62" s="16">
        <f>SUM(Atlantic!M59,Bergen!M59,Burlington!M59,Camden!M59,'Cape May'!M59,Cumberland!M59,Essex!M59,Gloucester!M59,Hudson!M59,Hunterdon!M59,Mercer!M59,Middlesex!M59,Monmouth!M59,Morris!M59,Ocean!M59,Passaic!M59,Salem!M59,Somerset!M59,Sussex!M59,Union!M59,Warren!M59)</f>
        <v>0</v>
      </c>
      <c r="N62" s="16">
        <f>SUM(Atlantic!N59,Bergen!N59,Burlington!N59,Camden!N59,'Cape May'!N59,Cumberland!N59,Essex!N59,Gloucester!N59,Hudson!N59,Hunterdon!N59,Mercer!N59,Middlesex!N59,Monmouth!N59,Morris!N59,Ocean!N59,Passaic!N59,Salem!N59,Somerset!N59,Sussex!N59,Union!N59,Warren!N59)</f>
        <v>0</v>
      </c>
      <c r="O62" s="16">
        <f>SUM(Atlantic!O59,Bergen!O59,Burlington!O59,Camden!O59,'Cape May'!O59,Cumberland!O59,Essex!O59,Gloucester!O59,Hudson!O59,Hunterdon!O59,Mercer!O59,Middlesex!O59,Monmouth!O59,Morris!O59,Ocean!O59,Passaic!O59,Salem!O59,Somerset!O59,Sussex!O59,Union!O59,Warren!O59)</f>
        <v>0</v>
      </c>
      <c r="P62" s="16">
        <f>SUM(Atlantic!P59,Bergen!P59,Burlington!P59,Camden!P59,'Cape May'!P59,Cumberland!P59,Essex!P59,Gloucester!P59,Hudson!P59,Hunterdon!P59,Mercer!P59,Middlesex!P59,Monmouth!P59,Morris!P59,Ocean!P59,Passaic!P59,Salem!P59,Somerset!P59,Sussex!P59,Union!P59,Warren!P59)</f>
        <v>0</v>
      </c>
      <c r="Q62" s="16">
        <f>IF($B$4=$X$19,M62*'Technology Assumptions'!B$34,IF('Bioenergy Calculator'!$B$4='Bioenergy Calculator'!$X$21,M62*'Technology Assumptions'!B$34,IF('Bioenergy Calculator'!$B$4='Bioenergy Calculator'!$X$20,'Bioenergy Calculator'!M62*'Technology Assumptions'!B$36,IF('Bioenergy Calculator'!$B$4='Bioenergy Calculator'!$X$23,'Bioenergy Calculator'!M62*'Technology Assumptions'!B$35,IF('Bioenergy Calculator'!$B$4='Bioenergy Calculator'!$X$22,'Bioenergy Calculator'!M62*'Technology Assumptions'!B$37,'Bioenergy Calculator'!M62)))))</f>
        <v>0</v>
      </c>
      <c r="R62" s="16">
        <f>IF($B$4=$X$19,N62*'Technology Assumptions'!C$34,IF('Bioenergy Calculator'!$B$4='Bioenergy Calculator'!$X$21,N62*'Technology Assumptions'!C$34,IF('Bioenergy Calculator'!$B$4='Bioenergy Calculator'!$X$20,'Bioenergy Calculator'!N62*'Technology Assumptions'!C$36,IF('Bioenergy Calculator'!$B$4='Bioenergy Calculator'!$X$23,'Bioenergy Calculator'!N62*'Technology Assumptions'!C$35,IF('Bioenergy Calculator'!$B$4='Bioenergy Calculator'!$X$22,'Bioenergy Calculator'!N62*'Technology Assumptions'!C$37,'Bioenergy Calculator'!N62)))))</f>
        <v>0</v>
      </c>
      <c r="S62" s="16">
        <f>IF($B$4=$X$19,O62*'Technology Assumptions'!D$34,IF('Bioenergy Calculator'!$B$4='Bioenergy Calculator'!$X$21,O62*'Technology Assumptions'!D$34,IF('Bioenergy Calculator'!$B$4='Bioenergy Calculator'!$X$20,'Bioenergy Calculator'!O62*'Technology Assumptions'!D$36,IF('Bioenergy Calculator'!$B$4='Bioenergy Calculator'!$X$23,'Bioenergy Calculator'!O62*'Technology Assumptions'!D$35,IF('Bioenergy Calculator'!$B$4='Bioenergy Calculator'!$X$22,'Bioenergy Calculator'!O62*'Technology Assumptions'!D$37,'Bioenergy Calculator'!O62)))))</f>
        <v>0</v>
      </c>
      <c r="T62" s="16">
        <f>IF($B$4=$X$19,P62*'Technology Assumptions'!E$34,IF('Bioenergy Calculator'!$B$4='Bioenergy Calculator'!$X$21,P62*'Technology Assumptions'!E$34,IF('Bioenergy Calculator'!$B$4='Bioenergy Calculator'!$X$20,'Bioenergy Calculator'!P62*'Technology Assumptions'!E$36,IF('Bioenergy Calculator'!$B$4='Bioenergy Calculator'!$X$23,'Bioenergy Calculator'!P62*'Technology Assumptions'!E$35,IF('Bioenergy Calculator'!$B$4='Bioenergy Calculator'!$X$22,'Bioenergy Calculator'!P62*'Technology Assumptions'!E$37,'Bioenergy Calculator'!P62)))))</f>
        <v>0</v>
      </c>
    </row>
    <row r="63" spans="1:20" x14ac:dyDescent="0.25">
      <c r="A63" s="1065"/>
      <c r="B63" s="129" t="s">
        <v>305</v>
      </c>
      <c r="C63" s="294">
        <f>(SUM(Atlantic!C60,Bergen!C60,Burlington!C60,Camden!C60,'Cape May'!C60,Cumberland!C60,Essex!C60,Gloucester!C60,Hudson!C60,Hunterdon!C60,Mercer!C60,Middlesex!C60,Monmouth!C60,Morris!C60,Ocean!C60,Passaic!C60,Salem!C60,Somerset!C60,Sussex!C60,Union!C60,Warren!C60))</f>
        <v>127170.30800100001</v>
      </c>
      <c r="D63" s="294">
        <f>E63*'Conversion Tables'!C53</f>
        <v>1526043.6960120001</v>
      </c>
      <c r="E63" s="294">
        <f>SUM(Atlantic!E60,Bergen!E60,Burlington!E60,Camden!E60,'Cape May'!E60,Cumberland!E60,Essex!E60,Gloucester!E60,Hudson!E60,Hunterdon!E60,Mercer!E60,Middlesex!E60,Monmouth!E60,Morris!E60,Ocean!E60,Passaic!E60,Salem!E60,Somerset!E60,Sussex!E60,Union!E60,Warren!E60)</f>
        <v>127170.30800100001</v>
      </c>
      <c r="F63" s="294">
        <f>SUM(Atlantic!F60,Bergen!F60,Burlington!F60,Camden!F60,'Cape May'!F60,Cumberland!F60,Essex!F60,Gloucester!F60,Hudson!F60,Hunterdon!F60,Mercer!F60,Middlesex!F60,Monmouth!F60,Morris!F60,Ocean!F60,Passaic!F60,Salem!F60,Somerset!F60,Sussex!F60,Union!F60,Warren!F60)</f>
        <v>129452.23936662909</v>
      </c>
      <c r="G63" s="294">
        <f>SUM(Atlantic!G60,Bergen!G60,Burlington!G60,Camden!G60,'Cape May'!G60,Cumberland!G60,Essex!G60,Gloucester!G60,Hudson!G60,Hunterdon!G60,Mercer!G60,Middlesex!G60,Monmouth!G60,Morris!G60,Ocean!G60,Passaic!G60,Salem!G60,Somerset!G60,Sussex!G60,Union!G60,Warren!G60)</f>
        <v>132945.83474455884</v>
      </c>
      <c r="H63" s="294">
        <f>SUM(Atlantic!H60,Bergen!H60,Burlington!H60,Camden!H60,'Cape May'!H60,Cumberland!H60,Essex!H60,Gloucester!H60,Hudson!H60,Hunterdon!H60,Mercer!H60,Middlesex!H60,Monmouth!H60,Morris!H60,Ocean!H60,Passaic!H60,Salem!H60,Somerset!H60,Sussex!H60,Union!H60,Warren!H60)</f>
        <v>136045.04669330586</v>
      </c>
      <c r="I63" s="16">
        <f>SUM(Atlantic!I60,Bergen!I60,Burlington!I60,Camden!I60,'Cape May'!I60,Cumberland!I60,Essex!I60,Gloucester!I60,Hudson!I60,Hunterdon!I60,Mercer!I60,Middlesex!I60,Monmouth!I60,Morris!I60,Ocean!I60,Passaic!I60,Salem!I60,Somerset!I60,Sussex!I60,Union!I60,Warren!I60)</f>
        <v>0</v>
      </c>
      <c r="J63" s="16">
        <f>SUM(Atlantic!J60,Bergen!J60,Burlington!J60,Camden!J60,'Cape May'!J60,Cumberland!J60,Essex!J60,Gloucester!J60,Hudson!J60,Hunterdon!J60,Mercer!J60,Middlesex!J60,Monmouth!J60,Morris!J60,Ocean!J60,Passaic!J60,Salem!J60,Somerset!J60,Sussex!J60,Union!J60,Warren!J60)</f>
        <v>0</v>
      </c>
      <c r="K63" s="16">
        <f>SUM(Atlantic!K60,Bergen!K60,Burlington!K60,Camden!K60,'Cape May'!K60,Cumberland!K60,Essex!K60,Gloucester!K60,Hudson!K60,Hunterdon!K60,Mercer!K60,Middlesex!K60,Monmouth!K60,Morris!K60,Ocean!K60,Passaic!K60,Salem!K60,Somerset!K60,Sussex!K60,Union!K60,Warren!K60)</f>
        <v>0</v>
      </c>
      <c r="L63" s="16">
        <f>SUM(Atlantic!L60,Bergen!L60,Burlington!L60,Camden!L60,'Cape May'!L60,Cumberland!L60,Essex!L60,Gloucester!L60,Hudson!L60,Hunterdon!L60,Mercer!L60,Middlesex!L60,Monmouth!L60,Morris!L60,Ocean!L60,Passaic!L60,Salem!L60,Somerset!L60,Sussex!L60,Union!L60,Warren!L60)</f>
        <v>0</v>
      </c>
      <c r="M63" s="16">
        <f>SUM(Atlantic!M60,Bergen!M60,Burlington!M60,Camden!M60,'Cape May'!M60,Cumberland!M60,Essex!M60,Gloucester!M60,Hudson!M60,Hunterdon!M60,Mercer!M60,Middlesex!M60,Monmouth!M60,Morris!M60,Ocean!M60,Passaic!M60,Salem!M60,Somerset!M60,Sussex!M60,Union!M60,Warren!M60)</f>
        <v>0</v>
      </c>
      <c r="N63" s="16">
        <f>SUM(Atlantic!N60,Bergen!N60,Burlington!N60,Camden!N60,'Cape May'!N60,Cumberland!N60,Essex!N60,Gloucester!N60,Hudson!N60,Hunterdon!N60,Mercer!N60,Middlesex!N60,Monmouth!N60,Morris!N60,Ocean!N60,Passaic!N60,Salem!N60,Somerset!N60,Sussex!N60,Union!N60,Warren!N60)</f>
        <v>0</v>
      </c>
      <c r="O63" s="16">
        <f>SUM(Atlantic!O60,Bergen!O60,Burlington!O60,Camden!O60,'Cape May'!O60,Cumberland!O60,Essex!O60,Gloucester!O60,Hudson!O60,Hunterdon!O60,Mercer!O60,Middlesex!O60,Monmouth!O60,Morris!O60,Ocean!O60,Passaic!O60,Salem!O60,Somerset!O60,Sussex!O60,Union!O60,Warren!O60)</f>
        <v>0</v>
      </c>
      <c r="P63" s="16">
        <f>SUM(Atlantic!P60,Bergen!P60,Burlington!P60,Camden!P60,'Cape May'!P60,Cumberland!P60,Essex!P60,Gloucester!P60,Hudson!P60,Hunterdon!P60,Mercer!P60,Middlesex!P60,Monmouth!P60,Morris!P60,Ocean!P60,Passaic!P60,Salem!P60,Somerset!P60,Sussex!P60,Union!P60,Warren!P60)</f>
        <v>0</v>
      </c>
      <c r="Q63" s="16">
        <f>IF($B$4=$X$19,M63*'Technology Assumptions'!B$34,IF('Bioenergy Calculator'!$B$4='Bioenergy Calculator'!$X$21,M63*'Technology Assumptions'!B$34,IF('Bioenergy Calculator'!$B$4='Bioenergy Calculator'!$X$20,'Bioenergy Calculator'!M63*'Technology Assumptions'!B$36,IF('Bioenergy Calculator'!$B$4='Bioenergy Calculator'!$X$23,'Bioenergy Calculator'!M63*'Technology Assumptions'!B$35,IF('Bioenergy Calculator'!$B$4='Bioenergy Calculator'!$X$22,'Bioenergy Calculator'!M63*'Technology Assumptions'!B$37,'Bioenergy Calculator'!M63)))))</f>
        <v>0</v>
      </c>
      <c r="R63" s="16">
        <f>IF($B$4=$X$19,N63*'Technology Assumptions'!C$34,IF('Bioenergy Calculator'!$B$4='Bioenergy Calculator'!$X$21,N63*'Technology Assumptions'!C$34,IF('Bioenergy Calculator'!$B$4='Bioenergy Calculator'!$X$20,'Bioenergy Calculator'!N63*'Technology Assumptions'!C$36,IF('Bioenergy Calculator'!$B$4='Bioenergy Calculator'!$X$23,'Bioenergy Calculator'!N63*'Technology Assumptions'!C$35,IF('Bioenergy Calculator'!$B$4='Bioenergy Calculator'!$X$22,'Bioenergy Calculator'!N63*'Technology Assumptions'!C$37,'Bioenergy Calculator'!N63)))))</f>
        <v>0</v>
      </c>
      <c r="S63" s="16">
        <f>IF($B$4=$X$19,O63*'Technology Assumptions'!D$34,IF('Bioenergy Calculator'!$B$4='Bioenergy Calculator'!$X$21,O63*'Technology Assumptions'!D$34,IF('Bioenergy Calculator'!$B$4='Bioenergy Calculator'!$X$20,'Bioenergy Calculator'!O63*'Technology Assumptions'!D$36,IF('Bioenergy Calculator'!$B$4='Bioenergy Calculator'!$X$23,'Bioenergy Calculator'!O63*'Technology Assumptions'!D$35,IF('Bioenergy Calculator'!$B$4='Bioenergy Calculator'!$X$22,'Bioenergy Calculator'!O63*'Technology Assumptions'!D$37,'Bioenergy Calculator'!O63)))))</f>
        <v>0</v>
      </c>
      <c r="T63" s="16">
        <f>IF($B$4=$X$19,P63*'Technology Assumptions'!E$34,IF('Bioenergy Calculator'!$B$4='Bioenergy Calculator'!$X$21,P63*'Technology Assumptions'!E$34,IF('Bioenergy Calculator'!$B$4='Bioenergy Calculator'!$X$20,'Bioenergy Calculator'!P63*'Technology Assumptions'!E$36,IF('Bioenergy Calculator'!$B$4='Bioenergy Calculator'!$X$23,'Bioenergy Calculator'!P63*'Technology Assumptions'!E$35,IF('Bioenergy Calculator'!$B$4='Bioenergy Calculator'!$X$22,'Bioenergy Calculator'!P63*'Technology Assumptions'!E$37,'Bioenergy Calculator'!P63)))))</f>
        <v>0</v>
      </c>
    </row>
    <row r="64" spans="1:20" x14ac:dyDescent="0.25">
      <c r="A64" s="1065"/>
      <c r="B64" s="9" t="s">
        <v>247</v>
      </c>
      <c r="C64" s="295">
        <f>SUM(C55:C63)</f>
        <v>334793.44734474999</v>
      </c>
      <c r="D64" s="295">
        <f>SUM(D55:D63)</f>
        <v>3234463.7756984252</v>
      </c>
      <c r="E64" s="295">
        <f t="shared" ref="E64:P64" si="4">SUM(E55:E63)</f>
        <v>245329.33941975</v>
      </c>
      <c r="F64" s="295">
        <f>SUM(F55:F63)</f>
        <v>247611.27078537908</v>
      </c>
      <c r="G64" s="295">
        <f>SUM(G55:G63)</f>
        <v>251104.86616330885</v>
      </c>
      <c r="H64" s="295">
        <f>SUM(H55:H63)</f>
        <v>254204.07811205584</v>
      </c>
      <c r="I64" s="19">
        <f t="shared" si="4"/>
        <v>0</v>
      </c>
      <c r="J64" s="19">
        <f t="shared" si="4"/>
        <v>0</v>
      </c>
      <c r="K64" s="19">
        <f t="shared" si="4"/>
        <v>0</v>
      </c>
      <c r="L64" s="19">
        <f t="shared" si="4"/>
        <v>0</v>
      </c>
      <c r="M64" s="19">
        <f t="shared" si="4"/>
        <v>0</v>
      </c>
      <c r="N64" s="19">
        <f t="shared" si="4"/>
        <v>0</v>
      </c>
      <c r="O64" s="19">
        <f t="shared" si="4"/>
        <v>0</v>
      </c>
      <c r="P64" s="19">
        <f t="shared" si="4"/>
        <v>0</v>
      </c>
      <c r="Q64" s="19">
        <f>SUM(Q55:Q63)</f>
        <v>0</v>
      </c>
      <c r="R64" s="19">
        <f>SUM(R55:R63)</f>
        <v>0</v>
      </c>
      <c r="S64" s="19">
        <f>SUM(S55:S63)</f>
        <v>0</v>
      </c>
      <c r="T64" s="19">
        <f>SUM(T55:T63)</f>
        <v>0</v>
      </c>
    </row>
    <row r="65" spans="1:20" x14ac:dyDescent="0.25">
      <c r="A65" s="1065"/>
      <c r="B65" s="129" t="s">
        <v>250</v>
      </c>
      <c r="C65" s="310" t="s">
        <v>251</v>
      </c>
      <c r="D65" s="295"/>
      <c r="E65" s="310" t="s">
        <v>251</v>
      </c>
      <c r="F65" s="310" t="s">
        <v>251</v>
      </c>
      <c r="G65" s="310" t="s">
        <v>251</v>
      </c>
      <c r="H65" s="310" t="s">
        <v>251</v>
      </c>
      <c r="I65" s="19"/>
      <c r="J65" s="19"/>
      <c r="K65" s="19"/>
      <c r="L65" s="19"/>
      <c r="M65" s="19"/>
      <c r="N65" s="19"/>
      <c r="O65" s="19"/>
      <c r="P65" s="19"/>
      <c r="Q65" s="19"/>
      <c r="R65" s="19"/>
      <c r="S65" s="19"/>
      <c r="T65" s="19"/>
    </row>
    <row r="66" spans="1:20" x14ac:dyDescent="0.25">
      <c r="A66" s="1066"/>
      <c r="B66" s="133" t="s">
        <v>304</v>
      </c>
      <c r="C66" s="294">
        <f>SUM(Atlantic!C63,Bergen!C63,Burlington!C63,Camden!C63,'Cape May'!C63,Cumberland!C63,Essex!C63,Gloucester!C63,Hudson!C63,Hunterdon!C63,Mercer!C63,Middlesex!C63,Monmouth!C63,Morris!C63,Ocean!C63,Passaic!C63,Salem!C63,Somerset!C63,Sussex!C63,Union!C63,Warren!C63)</f>
        <v>3411.2692716500001</v>
      </c>
      <c r="D66" s="294">
        <f>SUM(Atlantic!D63,Bergen!D63,Burlington!D63,Camden!D63,'Cape May'!D63,Cumberland!D63,Essex!D63,Gloucester!D63,Hudson!D63,Hunterdon!D63,Mercer!D63,Middlesex!D63,Monmouth!D63,Morris!D63,Ocean!D63,Passaic!D63,Salem!D63,Somerset!D63,Sussex!D63,Union!D63,Warren!D63)</f>
        <v>2111575.6791513492</v>
      </c>
      <c r="E66" s="294">
        <f>SUM(Atlantic!E63,Bergen!E63,Burlington!E63,Camden!E63,'Cape May'!E63,Cumberland!E63,Essex!E63,Gloucester!E63,Hudson!E63,Hunterdon!E63,Mercer!E63,Middlesex!E63,Monmouth!E63,Morris!E63,Ocean!E63,Passaic!E63,Salem!E63,Somerset!E63,Sussex!E63,Union!E63,Warren!E63)</f>
        <v>3411.2692716500001</v>
      </c>
      <c r="F66" s="294">
        <f>SUM(Atlantic!F63,Bergen!F63,Burlington!F63,Camden!F63,'Cape May'!F63,Cumberland!F63,Essex!F63,Gloucester!F63,Hudson!F63,Hunterdon!F63,Mercer!F63,Middlesex!F63,Monmouth!F63,Morris!F63,Ocean!F63,Passaic!F63,Salem!F63,Somerset!F63,Sussex!F63,Union!F63,Warren!F63)</f>
        <v>3443.2860351824206</v>
      </c>
      <c r="G66" s="294">
        <f>SUM(Atlantic!G63,Bergen!G63,Burlington!G63,Camden!G63,'Cape May'!G63,Cumberland!G63,Essex!G63,Gloucester!G63,Hudson!G63,Hunterdon!G63,Mercer!G63,Middlesex!G63,Monmouth!G63,Morris!G63,Ocean!G63,Passaic!G63,Salem!G63,Somerset!G63,Sussex!G63,Union!G63,Warren!G63)</f>
        <v>3500.2275298540826</v>
      </c>
      <c r="H66" s="294">
        <f>SUM(Atlantic!H63,Bergen!H63,Burlington!H63,Camden!H63,'Cape May'!H63,Cumberland!H63,Essex!H63,Gloucester!H63,Hudson!H63,Hunterdon!H63,Mercer!H63,Middlesex!H63,Monmouth!H63,Morris!H63,Ocean!H63,Passaic!H63,Salem!H63,Somerset!H63,Sussex!H63,Union!H63,Warren!H63)</f>
        <v>3550.6225645289383</v>
      </c>
      <c r="I66" s="16">
        <f>SUM(Atlantic!I63,Bergen!I63,Burlington!I63,Camden!I63,'Cape May'!I63,Cumberland!I63,Essex!I63,Gloucester!I63,Hudson!I63,Hunterdon!I63,Mercer!I63,Middlesex!I63,Monmouth!I63,Morris!I63,Ocean!I63,Passaic!I63,Salem!I63,Somerset!I63,Sussex!I63,Union!I63,Warren!I63)</f>
        <v>0</v>
      </c>
      <c r="J66" s="16">
        <f>SUM(Atlantic!J63,Bergen!J63,Burlington!J63,Camden!J63,'Cape May'!J63,Cumberland!J63,Essex!J63,Gloucester!J63,Hudson!J63,Hunterdon!J63,Mercer!J63,Middlesex!J63,Monmouth!J63,Morris!J63,Ocean!J63,Passaic!J63,Salem!J63,Somerset!J63,Sussex!J63,Union!J63,Warren!J63)</f>
        <v>0</v>
      </c>
      <c r="K66" s="16">
        <f>SUM(Atlantic!K63,Bergen!K63,Burlington!K63,Camden!K63,'Cape May'!K63,Cumberland!K63,Essex!K63,Gloucester!K63,Hudson!K63,Hunterdon!K63,Mercer!K63,Middlesex!K63,Monmouth!K63,Morris!K63,Ocean!K63,Passaic!K63,Salem!K63,Somerset!K63,Sussex!K63,Union!K63,Warren!K63)</f>
        <v>0</v>
      </c>
      <c r="L66" s="16">
        <f>SUM(Atlantic!L63,Bergen!L63,Burlington!L63,Camden!L63,'Cape May'!L63,Cumberland!L63,Essex!L63,Gloucester!L63,Hudson!L63,Hunterdon!L63,Mercer!L63,Middlesex!L63,Monmouth!L63,Morris!L63,Ocean!L63,Passaic!L63,Salem!L63,Somerset!L63,Sussex!L63,Union!L63,Warren!L63)</f>
        <v>0</v>
      </c>
      <c r="M66" s="16">
        <f>SUM(Atlantic!M63,Bergen!M63,Burlington!M63,Camden!M63,'Cape May'!M63,Cumberland!M63,Essex!M63,Gloucester!M63,Hudson!M63,Hunterdon!M63,Mercer!M63,Middlesex!M63,Monmouth!M63,Morris!M63,Ocean!M63,Passaic!M63,Salem!M63,Somerset!M63,Sussex!M63,Union!M63,Warren!M63)</f>
        <v>0</v>
      </c>
      <c r="N66" s="16">
        <f>SUM(Atlantic!N63,Bergen!N63,Burlington!N63,Camden!N63,'Cape May'!N63,Cumberland!N63,Essex!N63,Gloucester!N63,Hudson!N63,Hunterdon!N63,Mercer!N63,Middlesex!N63,Monmouth!N63,Morris!N63,Ocean!N63,Passaic!N63,Salem!N63,Somerset!N63,Sussex!N63,Union!N63,Warren!N63)</f>
        <v>0</v>
      </c>
      <c r="O66" s="16">
        <f>SUM(Atlantic!O63,Bergen!O63,Burlington!O63,Camden!O63,'Cape May'!O63,Cumberland!O63,Essex!O63,Gloucester!O63,Hudson!O63,Hunterdon!O63,Mercer!O63,Middlesex!O63,Monmouth!O63,Morris!O63,Ocean!O63,Passaic!O63,Salem!O63,Somerset!O63,Sussex!O63,Union!O63,Warren!O63)</f>
        <v>0</v>
      </c>
      <c r="P66" s="16">
        <f>SUM(Atlantic!P63,Bergen!P63,Burlington!P63,Camden!P63,'Cape May'!P63,Cumberland!P63,Essex!P63,Gloucester!P63,Hudson!P63,Hunterdon!P63,Mercer!P63,Middlesex!P63,Monmouth!P63,Morris!P63,Ocean!P63,Passaic!P63,Salem!P63,Somerset!P63,Sussex!P63,Union!P63,Warren!P63)</f>
        <v>0</v>
      </c>
      <c r="Q66" s="16">
        <f>IF($B$4=$X$19,M66*'Technology Assumptions'!B$34,IF('Bioenergy Calculator'!$B$4='Bioenergy Calculator'!$X$21,M66*'Technology Assumptions'!B$34,IF('Bioenergy Calculator'!$B$4='Bioenergy Calculator'!$X$20,'Bioenergy Calculator'!M66*'Technology Assumptions'!B$36,IF('Bioenergy Calculator'!$B$4='Bioenergy Calculator'!$X$23,'Bioenergy Calculator'!M66*'Technology Assumptions'!B$35,IF('Bioenergy Calculator'!$B$4='Bioenergy Calculator'!$X$22,'Bioenergy Calculator'!M66*'Technology Assumptions'!B$37,'Bioenergy Calculator'!M66)))))</f>
        <v>0</v>
      </c>
      <c r="R66" s="16">
        <f>IF($B$4=$X$19,N66*'Technology Assumptions'!C$34,IF('Bioenergy Calculator'!$B$4='Bioenergy Calculator'!$X$21,N66*'Technology Assumptions'!C$34,IF('Bioenergy Calculator'!$B$4='Bioenergy Calculator'!$X$20,'Bioenergy Calculator'!N66*'Technology Assumptions'!C$36,IF('Bioenergy Calculator'!$B$4='Bioenergy Calculator'!$X$23,'Bioenergy Calculator'!N66*'Technology Assumptions'!C$35,IF('Bioenergy Calculator'!$B$4='Bioenergy Calculator'!$X$22,'Bioenergy Calculator'!N66*'Technology Assumptions'!C$37,'Bioenergy Calculator'!N66)))))</f>
        <v>0</v>
      </c>
      <c r="S66" s="16">
        <f>IF($B$4=$X$19,O66*'Technology Assumptions'!D$34,IF('Bioenergy Calculator'!$B$4='Bioenergy Calculator'!$X$21,O66*'Technology Assumptions'!D$34,IF('Bioenergy Calculator'!$B$4='Bioenergy Calculator'!$X$20,'Bioenergy Calculator'!O66*'Technology Assumptions'!D$36,IF('Bioenergy Calculator'!$B$4='Bioenergy Calculator'!$X$23,'Bioenergy Calculator'!O66*'Technology Assumptions'!D$35,IF('Bioenergy Calculator'!$B$4='Bioenergy Calculator'!$X$22,'Bioenergy Calculator'!O66*'Technology Assumptions'!D$37,'Bioenergy Calculator'!O66)))))</f>
        <v>0</v>
      </c>
      <c r="T66" s="16">
        <f>IF($B$4=$X$19,P66*'Technology Assumptions'!E$34,IF('Bioenergy Calculator'!$B$4='Bioenergy Calculator'!$X$21,P66*'Technology Assumptions'!E$34,IF('Bioenergy Calculator'!$B$4='Bioenergy Calculator'!$X$20,'Bioenergy Calculator'!P66*'Technology Assumptions'!E$36,IF('Bioenergy Calculator'!$B$4='Bioenergy Calculator'!$X$23,'Bioenergy Calculator'!P66*'Technology Assumptions'!E$35,IF('Bioenergy Calculator'!$B$4='Bioenergy Calculator'!$X$22,'Bioenergy Calculator'!P66*'Technology Assumptions'!E$37,'Bioenergy Calculator'!P66)))))</f>
        <v>0</v>
      </c>
    </row>
    <row r="67" spans="1:20" x14ac:dyDescent="0.25">
      <c r="A67" s="1067"/>
      <c r="B67" s="17" t="s">
        <v>512</v>
      </c>
      <c r="C67" s="294">
        <f>SUM(Atlantic!C64,Bergen!C64,Burlington!C64,Camden!C64,'Cape May'!C64,Cumberland!C64,Essex!C64,Gloucester!C64,Hudson!C64,Hunterdon!C64,Mercer!C64,Middlesex!C64,Monmouth!C64,Morris!C64,Ocean!C64,Passaic!C64,Salem!C64,Somerset!C64,Sussex!C64,Union!C64,Warren!C64)</f>
        <v>10194.573463475141</v>
      </c>
      <c r="D67" s="294">
        <f>E67*'Conversion Tables'!C56</f>
        <v>5158454.172518421</v>
      </c>
      <c r="E67" s="294">
        <f>SUM(Atlantic!E64,Bergen!E64,Burlington!E64,Camden!E64,'Cape May'!E64,Cumberland!E64,Essex!E64,Gloucester!E64,Hudson!E64,Hunterdon!E64,Mercer!E64,Middlesex!E64,Monmouth!E64,Morris!E64,Ocean!E64,Passaic!E64,Salem!E64,Somerset!E64,Sussex!E64,Union!E64,Warren!E64)</f>
        <v>10194.573463475141</v>
      </c>
      <c r="F67" s="294">
        <f>SUM(Atlantic!F64,Bergen!F64,Burlington!F64,Camden!F64,'Cape May'!F64,Cumberland!F64,Essex!F64,Gloucester!F64,Hudson!F64,Hunterdon!F64,Mercer!F64,Middlesex!F64,Monmouth!F64,Morris!F64,Ocean!F64,Passaic!F64,Salem!F64,Somerset!F64,Sussex!F64,Union!F64,Warren!F64)</f>
        <v>10349.978038536947</v>
      </c>
      <c r="G67" s="294">
        <f>SUM(Atlantic!G64,Bergen!G64,Burlington!G64,Camden!G64,'Cape May'!G64,Cumberland!G64,Essex!G64,Gloucester!G64,Hudson!G64,Hunterdon!G64,Mercer!G64,Middlesex!G64,Monmouth!G64,Morris!G64,Ocean!G64,Passaic!G64,Salem!G64,Somerset!G64,Sussex!G64,Union!G64,Warren!G64)</f>
        <v>10673.08492909423</v>
      </c>
      <c r="H67" s="294">
        <f>SUM(Atlantic!H64,Bergen!H64,Burlington!H64,Camden!H64,'Cape May'!H64,Cumberland!H64,Essex!H64,Gloucester!H64,Hudson!H64,Hunterdon!H64,Mercer!H64,Middlesex!H64,Monmouth!H64,Morris!H64,Ocean!H64,Passaic!H64,Salem!H64,Somerset!H64,Sussex!H64,Union!H64,Warren!H64)</f>
        <v>10978.661550179391</v>
      </c>
      <c r="I67" s="16">
        <f>SUM(Atlantic!I64,Bergen!I64,Burlington!I64,Camden!I64,'Cape May'!I64,Cumberland!I64,Essex!I64,Gloucester!I64,Hudson!I64,Hunterdon!I64,Mercer!I64,Middlesex!I64,Monmouth!I64,Morris!I64,Ocean!I64,Passaic!I64,Salem!I64,Somerset!I64,Sussex!I64,Union!I64,Warren!I64)</f>
        <v>0</v>
      </c>
      <c r="J67" s="16">
        <f>SUM(Atlantic!J64,Bergen!J64,Burlington!J64,Camden!J64,'Cape May'!J64,Cumberland!J64,Essex!J64,Gloucester!J64,Hudson!J64,Hunterdon!J64,Mercer!J64,Middlesex!J64,Monmouth!J64,Morris!J64,Ocean!J64,Passaic!J64,Salem!J64,Somerset!J64,Sussex!J64,Union!J64,Warren!J64)</f>
        <v>0</v>
      </c>
      <c r="K67" s="16">
        <f>SUM(Atlantic!K64,Bergen!K64,Burlington!K64,Camden!K64,'Cape May'!K64,Cumberland!K64,Essex!K64,Gloucester!K64,Hudson!K64,Hunterdon!K64,Mercer!K64,Middlesex!K64,Monmouth!K64,Morris!K64,Ocean!K64,Passaic!K64,Salem!K64,Somerset!K64,Sussex!K64,Union!K64,Warren!K64)</f>
        <v>0</v>
      </c>
      <c r="L67" s="16">
        <f>SUM(Atlantic!L64,Bergen!L64,Burlington!L64,Camden!L64,'Cape May'!L64,Cumberland!L64,Essex!L64,Gloucester!L64,Hudson!L64,Hunterdon!L64,Mercer!L64,Middlesex!L64,Monmouth!L64,Morris!L64,Ocean!L64,Passaic!L64,Salem!L64,Somerset!L64,Sussex!L64,Union!L64,Warren!L64)</f>
        <v>0</v>
      </c>
      <c r="M67" s="16">
        <f>SUM(Atlantic!M64,Bergen!M64,Burlington!M64,Camden!M64,'Cape May'!M64,Cumberland!M64,Essex!M64,Gloucester!M64,Hudson!M64,Hunterdon!M64,Mercer!M64,Middlesex!M64,Monmouth!M64,Morris!M64,Ocean!M64,Passaic!M64,Salem!M64,Somerset!M64,Sussex!M64,Union!M64,Warren!M64)</f>
        <v>0</v>
      </c>
      <c r="N67" s="16">
        <f>SUM(Atlantic!N64,Bergen!N64,Burlington!N64,Camden!N64,'Cape May'!N64,Cumberland!N64,Essex!N64,Gloucester!N64,Hudson!N64,Hunterdon!N64,Mercer!N64,Middlesex!N64,Monmouth!N64,Morris!N64,Ocean!N64,Passaic!N64,Salem!N64,Somerset!N64,Sussex!N64,Union!N64,Warren!N64)</f>
        <v>0</v>
      </c>
      <c r="O67" s="16">
        <f>SUM(Atlantic!O64,Bergen!O64,Burlington!O64,Camden!O64,'Cape May'!O64,Cumberland!O64,Essex!O64,Gloucester!O64,Hudson!O64,Hunterdon!O64,Mercer!O64,Middlesex!O64,Monmouth!O64,Morris!O64,Ocean!O64,Passaic!O64,Salem!O64,Somerset!O64,Sussex!O64,Union!O64,Warren!O64)</f>
        <v>0</v>
      </c>
      <c r="P67" s="16">
        <f>SUM(Atlantic!P64,Bergen!P64,Burlington!P64,Camden!P64,'Cape May'!P64,Cumberland!P64,Essex!P64,Gloucester!P64,Hudson!P64,Hunterdon!P64,Mercer!P64,Middlesex!P64,Monmouth!P64,Morris!P64,Ocean!P64,Passaic!P64,Salem!P64,Somerset!P64,Sussex!P64,Union!P64,Warren!P64)</f>
        <v>0</v>
      </c>
      <c r="Q67" s="16">
        <f>IF($B$4=$X$19,M67*'Technology Assumptions'!B$34,IF('Bioenergy Calculator'!$B$4='Bioenergy Calculator'!$X$21,M67*'Technology Assumptions'!B$34,IF('Bioenergy Calculator'!$B$4='Bioenergy Calculator'!$X$20,'Bioenergy Calculator'!M67*'Technology Assumptions'!B$36,IF('Bioenergy Calculator'!$B$4='Bioenergy Calculator'!$X$23,'Bioenergy Calculator'!M67*'Technology Assumptions'!B$35,IF('Bioenergy Calculator'!$B$4='Bioenergy Calculator'!$X$22,'Bioenergy Calculator'!M67*'Technology Assumptions'!B$37,'Bioenergy Calculator'!M67)))))</f>
        <v>0</v>
      </c>
      <c r="R67" s="16">
        <f>IF($B$4=$X$19,N67*'Technology Assumptions'!C$34,IF('Bioenergy Calculator'!$B$4='Bioenergy Calculator'!$X$21,N67*'Technology Assumptions'!C$34,IF('Bioenergy Calculator'!$B$4='Bioenergy Calculator'!$X$20,'Bioenergy Calculator'!N67*'Technology Assumptions'!C$36,IF('Bioenergy Calculator'!$B$4='Bioenergy Calculator'!$X$23,'Bioenergy Calculator'!N67*'Technology Assumptions'!C$35,IF('Bioenergy Calculator'!$B$4='Bioenergy Calculator'!$X$22,'Bioenergy Calculator'!N67*'Technology Assumptions'!C$37,'Bioenergy Calculator'!N67)))))</f>
        <v>0</v>
      </c>
      <c r="S67" s="16">
        <f>IF($B$4=$X$19,O67*'Technology Assumptions'!D$34,IF('Bioenergy Calculator'!$B$4='Bioenergy Calculator'!$X$21,O67*'Technology Assumptions'!D$34,IF('Bioenergy Calculator'!$B$4='Bioenergy Calculator'!$X$20,'Bioenergy Calculator'!O67*'Technology Assumptions'!D$36,IF('Bioenergy Calculator'!$B$4='Bioenergy Calculator'!$X$23,'Bioenergy Calculator'!O67*'Technology Assumptions'!D$35,IF('Bioenergy Calculator'!$B$4='Bioenergy Calculator'!$X$22,'Bioenergy Calculator'!O67*'Technology Assumptions'!D$37,'Bioenergy Calculator'!O67)))))</f>
        <v>0</v>
      </c>
      <c r="T67" s="16">
        <f>IF($B$4=$X$19,P67*'Technology Assumptions'!E$34,IF('Bioenergy Calculator'!$B$4='Bioenergy Calculator'!$X$21,P67*'Technology Assumptions'!E$34,IF('Bioenergy Calculator'!$B$4='Bioenergy Calculator'!$X$20,'Bioenergy Calculator'!P67*'Technology Assumptions'!E$36,IF('Bioenergy Calculator'!$B$4='Bioenergy Calculator'!$X$23,'Bioenergy Calculator'!P67*'Technology Assumptions'!E$35,IF('Bioenergy Calculator'!$B$4='Bioenergy Calculator'!$X$22,'Bioenergy Calculator'!P67*'Technology Assumptions'!E$37,'Bioenergy Calculator'!P67)))))</f>
        <v>0</v>
      </c>
    </row>
    <row r="68" spans="1:20" x14ac:dyDescent="0.25">
      <c r="A68" s="1067"/>
      <c r="B68" s="9" t="s">
        <v>248</v>
      </c>
      <c r="C68" s="311">
        <f t="shared" ref="C68:H68" si="5">SUM(C66:C67)</f>
        <v>13605.842735125141</v>
      </c>
      <c r="D68" s="295">
        <f t="shared" si="5"/>
        <v>7270029.8516697697</v>
      </c>
      <c r="E68" s="311">
        <f t="shared" si="5"/>
        <v>13605.842735125141</v>
      </c>
      <c r="F68" s="311">
        <f t="shared" si="5"/>
        <v>13793.264073719367</v>
      </c>
      <c r="G68" s="311">
        <f t="shared" si="5"/>
        <v>14173.312458948312</v>
      </c>
      <c r="H68" s="311">
        <f t="shared" si="5"/>
        <v>14529.284114708329</v>
      </c>
      <c r="I68" s="19">
        <f t="shared" ref="I68:P68" si="6">SUM(I66:I67)</f>
        <v>0</v>
      </c>
      <c r="J68" s="19">
        <f t="shared" si="6"/>
        <v>0</v>
      </c>
      <c r="K68" s="19">
        <f t="shared" si="6"/>
        <v>0</v>
      </c>
      <c r="L68" s="19">
        <f t="shared" si="6"/>
        <v>0</v>
      </c>
      <c r="M68" s="19">
        <f t="shared" si="6"/>
        <v>0</v>
      </c>
      <c r="N68" s="19">
        <f t="shared" si="6"/>
        <v>0</v>
      </c>
      <c r="O68" s="19">
        <f t="shared" si="6"/>
        <v>0</v>
      </c>
      <c r="P68" s="19">
        <f t="shared" si="6"/>
        <v>0</v>
      </c>
      <c r="Q68" s="16">
        <f>IF($B$4=$T$3,M68*'Technology Assumptions'!B$34,IF('Bioenergy Calculator'!$B$4='Bioenergy Calculator'!$X$21,M68*'Technology Assumptions'!B$34,IF('Bioenergy Calculator'!$B$4='Bioenergy Calculator'!$T$4,'Bioenergy Calculator'!M68*'Technology Assumptions'!B$36,IF('Bioenergy Calculator'!$B$4='Bioenergy Calculator'!$X$13,'Bioenergy Calculator'!M68*'Technology Assumptions'!B$35,IF('Bioenergy Calculator'!$B$4='Bioenergy Calculator'!$X$12,'Bioenergy Calculator'!M68*'Technology Assumptions'!B$37,'Bioenergy Calculator'!M68)))))</f>
        <v>0</v>
      </c>
      <c r="R68" s="16">
        <f>IF($B$4=$T$3,N68*'Technology Assumptions'!C$34,IF('Bioenergy Calculator'!$B$4='Bioenergy Calculator'!$X$21,N68*'Technology Assumptions'!C$34,IF('Bioenergy Calculator'!$B$4='Bioenergy Calculator'!$T$4,'Bioenergy Calculator'!N68*'Technology Assumptions'!C$36,IF('Bioenergy Calculator'!$B$4='Bioenergy Calculator'!$X$13,'Bioenergy Calculator'!N68*'Technology Assumptions'!C$35,IF('Bioenergy Calculator'!$B$4='Bioenergy Calculator'!$X$12,'Bioenergy Calculator'!N68*'Technology Assumptions'!C$37,'Bioenergy Calculator'!N68)))))</f>
        <v>0</v>
      </c>
      <c r="S68" s="16">
        <f>IF($B$4=$T$3,O68*'Technology Assumptions'!D$34,IF('Bioenergy Calculator'!$B$4='Bioenergy Calculator'!$X$21,O68*'Technology Assumptions'!D$34,IF('Bioenergy Calculator'!$B$4='Bioenergy Calculator'!$T$4,'Bioenergy Calculator'!O68*'Technology Assumptions'!D$36,IF('Bioenergy Calculator'!$B$4='Bioenergy Calculator'!$X$13,'Bioenergy Calculator'!O68*'Technology Assumptions'!D$35,IF('Bioenergy Calculator'!$B$4='Bioenergy Calculator'!$X$12,'Bioenergy Calculator'!O68*'Technology Assumptions'!D$37,'Bioenergy Calculator'!O68)))))</f>
        <v>0</v>
      </c>
      <c r="T68" s="16">
        <f>IF($B$4=$T$3,P68*'Technology Assumptions'!E$34,IF('Bioenergy Calculator'!$B$4='Bioenergy Calculator'!$X$21,P68*'Technology Assumptions'!E$34,IF('Bioenergy Calculator'!$B$4='Bioenergy Calculator'!$T$4,'Bioenergy Calculator'!P68*'Technology Assumptions'!E$36,IF('Bioenergy Calculator'!$B$4='Bioenergy Calculator'!$X$13,'Bioenergy Calculator'!P68*'Technology Assumptions'!E$35,IF('Bioenergy Calculator'!$B$4='Bioenergy Calculator'!$X$12,'Bioenergy Calculator'!P68*'Technology Assumptions'!E$37,'Bioenergy Calculator'!P68)))))</f>
        <v>0</v>
      </c>
    </row>
    <row r="69" spans="1:20" x14ac:dyDescent="0.25">
      <c r="A69" s="1067"/>
      <c r="B69" s="9"/>
      <c r="C69" s="311"/>
      <c r="D69" s="295"/>
      <c r="E69" s="311"/>
      <c r="F69" s="311"/>
      <c r="G69" s="311"/>
      <c r="H69" s="311"/>
      <c r="I69" s="19"/>
      <c r="J69" s="19"/>
      <c r="K69" s="19"/>
      <c r="L69" s="19"/>
      <c r="M69" s="19"/>
      <c r="N69" s="19"/>
      <c r="O69" s="19"/>
      <c r="P69" s="19"/>
      <c r="Q69" s="16"/>
      <c r="R69" s="16"/>
      <c r="S69" s="16"/>
      <c r="T69" s="16"/>
    </row>
    <row r="70" spans="1:20" x14ac:dyDescent="0.25">
      <c r="A70" s="1067"/>
      <c r="B70" s="9" t="s">
        <v>249</v>
      </c>
      <c r="C70" s="311">
        <f>C64+(C66*1000000/29487.1582406855)+(C67*1000000/25364.5039539246)</f>
        <v>852402.89379172702</v>
      </c>
      <c r="D70" s="311">
        <f t="shared" ref="D70" si="7">SUM(D64,D68)</f>
        <v>10504493.627368195</v>
      </c>
      <c r="E70" s="311">
        <f>E64+(E66*1000000/29487.1582406855)+(E67*1000000/25364.5039539246)</f>
        <v>762938.785866727</v>
      </c>
      <c r="F70" s="311">
        <f t="shared" ref="F70:H70" si="8">F64+(F66*1000000/29487.1582406855)+(F67*1000000/25364.5039539246)</f>
        <v>772433.35643208225</v>
      </c>
      <c r="G70" s="311">
        <f t="shared" si="8"/>
        <v>790596.55819849286</v>
      </c>
      <c r="H70" s="311">
        <f t="shared" si="8"/>
        <v>807452.23205647536</v>
      </c>
      <c r="I70" s="143">
        <f t="shared" ref="I70:P70" si="9">I64+I68</f>
        <v>0</v>
      </c>
      <c r="J70" s="143">
        <f t="shared" si="9"/>
        <v>0</v>
      </c>
      <c r="K70" s="143">
        <f t="shared" si="9"/>
        <v>0</v>
      </c>
      <c r="L70" s="143">
        <f t="shared" si="9"/>
        <v>0</v>
      </c>
      <c r="M70" s="143">
        <f t="shared" si="9"/>
        <v>0</v>
      </c>
      <c r="N70" s="143">
        <f t="shared" si="9"/>
        <v>0</v>
      </c>
      <c r="O70" s="143">
        <f t="shared" si="9"/>
        <v>0</v>
      </c>
      <c r="P70" s="143">
        <f t="shared" si="9"/>
        <v>0</v>
      </c>
      <c r="Q70" s="143">
        <f>Q64+Q68</f>
        <v>0</v>
      </c>
      <c r="R70" s="143">
        <f>R64+R68</f>
        <v>0</v>
      </c>
      <c r="S70" s="143">
        <f>S64+S68</f>
        <v>0</v>
      </c>
      <c r="T70" s="143">
        <f>T64+T68</f>
        <v>0</v>
      </c>
    </row>
    <row r="71" spans="1:20" x14ac:dyDescent="0.25">
      <c r="B71" s="270" t="s">
        <v>162</v>
      </c>
      <c r="C71" s="132">
        <f>C14+C32+C46+C52+C70</f>
        <v>7068457.0925728604</v>
      </c>
      <c r="D71" s="132"/>
      <c r="E71" s="132">
        <f>E14+E32+E46+E52+E70</f>
        <v>4106015.6124849408</v>
      </c>
      <c r="F71" s="132">
        <f>F14+F32+F46+F52+F70</f>
        <v>4202722.4403810939</v>
      </c>
      <c r="G71" s="132">
        <f>G14+G32+G46+G52+G70</f>
        <v>4330350.4502248224</v>
      </c>
      <c r="H71" s="132">
        <f>H14+H32+H46+H52+H70</f>
        <v>4454147.2491550334</v>
      </c>
      <c r="I71" s="264"/>
    </row>
    <row r="72" spans="1:20" x14ac:dyDescent="0.25">
      <c r="B72" s="269"/>
      <c r="C72" s="836"/>
      <c r="D72" s="265"/>
      <c r="N72" t="s">
        <v>154</v>
      </c>
    </row>
    <row r="73" spans="1:20" ht="13.8" thickBot="1" x14ac:dyDescent="0.3">
      <c r="A73" s="301"/>
      <c r="B73" s="55"/>
      <c r="E73" s="264"/>
      <c r="F73" s="264"/>
      <c r="G73" s="264"/>
      <c r="H73" s="264"/>
      <c r="I73" t="s">
        <v>154</v>
      </c>
      <c r="J73" s="134" t="s">
        <v>154</v>
      </c>
      <c r="K73" t="s">
        <v>154</v>
      </c>
      <c r="N73" s="266"/>
      <c r="O73" s="264"/>
    </row>
    <row r="74" spans="1:20" ht="16.2" thickBot="1" x14ac:dyDescent="0.35">
      <c r="A74" s="301"/>
      <c r="B74" s="357" t="s">
        <v>123</v>
      </c>
      <c r="C74" s="358"/>
      <c r="D74" s="358"/>
      <c r="E74" s="358"/>
      <c r="F74" s="359"/>
      <c r="G74" s="358"/>
      <c r="H74" s="358"/>
      <c r="I74" s="360"/>
      <c r="J74" s="134"/>
      <c r="N74" s="266"/>
      <c r="O74" s="264"/>
    </row>
    <row r="75" spans="1:20" ht="13.8" thickBot="1" x14ac:dyDescent="0.3">
      <c r="B75" s="361"/>
      <c r="C75" s="362" t="s">
        <v>122</v>
      </c>
      <c r="D75" s="362"/>
      <c r="E75" s="36"/>
      <c r="F75" s="363"/>
      <c r="G75" s="363"/>
      <c r="H75" s="659" t="s">
        <v>1383</v>
      </c>
      <c r="I75" s="364"/>
      <c r="J75" s="3"/>
    </row>
    <row r="76" spans="1:20" ht="13.8" thickBot="1" x14ac:dyDescent="0.3">
      <c r="B76" s="365"/>
      <c r="C76" s="366"/>
      <c r="D76" s="366"/>
      <c r="E76" s="367"/>
      <c r="F76" s="368"/>
      <c r="G76" s="369"/>
      <c r="H76" s="370"/>
      <c r="I76" s="371"/>
      <c r="J76" s="3"/>
    </row>
    <row r="77" spans="1:20" ht="12.75" customHeight="1" x14ac:dyDescent="0.25">
      <c r="J77" s="356"/>
    </row>
    <row r="78" spans="1:20" x14ac:dyDescent="0.25">
      <c r="B78" s="269"/>
      <c r="C78" s="264"/>
      <c r="D78" s="264"/>
      <c r="I78" s="134"/>
      <c r="J78" s="304"/>
      <c r="K78" s="3"/>
    </row>
    <row r="79" spans="1:20" x14ac:dyDescent="0.25">
      <c r="A79" s="588" t="s">
        <v>1184</v>
      </c>
      <c r="J79" s="3"/>
      <c r="K79" s="3"/>
    </row>
    <row r="80" spans="1:20" x14ac:dyDescent="0.25">
      <c r="A80" s="588" t="s">
        <v>1185</v>
      </c>
      <c r="J80" s="312"/>
      <c r="K80" s="3"/>
    </row>
    <row r="81" spans="3:17" x14ac:dyDescent="0.25">
      <c r="I81" s="134"/>
      <c r="J81" s="3"/>
      <c r="K81" s="3"/>
    </row>
    <row r="82" spans="3:17" x14ac:dyDescent="0.25">
      <c r="E82" t="s">
        <v>154</v>
      </c>
      <c r="I82" s="51"/>
      <c r="J82" s="3"/>
      <c r="K82" s="3"/>
      <c r="O82" t="s">
        <v>154</v>
      </c>
    </row>
    <row r="83" spans="3:17" x14ac:dyDescent="0.25">
      <c r="E83" s="291" t="s">
        <v>154</v>
      </c>
      <c r="F83" s="291"/>
      <c r="G83" s="291"/>
      <c r="H83" s="291"/>
      <c r="I83" s="313"/>
      <c r="J83" s="51"/>
      <c r="K83" s="306"/>
      <c r="L83" s="306"/>
      <c r="M83" s="306"/>
      <c r="N83" s="29"/>
      <c r="O83" s="307" t="s">
        <v>154</v>
      </c>
      <c r="P83" s="3"/>
      <c r="Q83" s="3"/>
    </row>
    <row r="84" spans="3:17" x14ac:dyDescent="0.25">
      <c r="I84" s="141"/>
      <c r="J84" s="51"/>
      <c r="K84" s="306"/>
      <c r="L84" s="306"/>
      <c r="M84" s="306"/>
      <c r="N84" s="29"/>
      <c r="O84" s="304"/>
      <c r="P84" s="3"/>
      <c r="Q84" s="3"/>
    </row>
    <row r="85" spans="3:17" x14ac:dyDescent="0.25">
      <c r="E85" s="837"/>
      <c r="F85" s="837"/>
      <c r="I85" s="314"/>
      <c r="J85" s="51"/>
    </row>
    <row r="86" spans="3:17" x14ac:dyDescent="0.25">
      <c r="C86" s="838"/>
    </row>
  </sheetData>
  <mergeCells count="17">
    <mergeCell ref="C1:G1"/>
    <mergeCell ref="H1:L1"/>
    <mergeCell ref="D6:D7"/>
    <mergeCell ref="I6:L6"/>
    <mergeCell ref="M6:P6"/>
    <mergeCell ref="M1:M2"/>
    <mergeCell ref="N1:Q1"/>
    <mergeCell ref="Q6:T6"/>
    <mergeCell ref="E6:H6"/>
    <mergeCell ref="B6:B7"/>
    <mergeCell ref="C6:C7"/>
    <mergeCell ref="A54:A70"/>
    <mergeCell ref="A8:A14"/>
    <mergeCell ref="A16:A32"/>
    <mergeCell ref="A34:A46"/>
    <mergeCell ref="A48:A52"/>
    <mergeCell ref="A6:A7"/>
  </mergeCells>
  <phoneticPr fontId="0" type="noConversion"/>
  <dataValidations count="2">
    <dataValidation type="list" allowBlank="1" showInputMessage="1" showErrorMessage="1" sqref="B3">
      <formula1>$X$9:$X$16</formula1>
    </dataValidation>
    <dataValidation type="list" allowBlank="1" showInputMessage="1" showErrorMessage="1" sqref="B4">
      <formula1>$X$19:$X$25</formula1>
    </dataValidation>
  </dataValidations>
  <pageMargins left="0.75" right="0.75" top="1" bottom="1" header="0.5" footer="0.5"/>
  <pageSetup paperSize="5" scale="50" fitToHeight="2" orientation="landscape" r:id="rId1"/>
  <headerFooter alignWithMargins="0">
    <oddFooter>&amp;L&amp;"Arial,Italic" 7/02/07&amp;C&amp;"Arial,Italic"&amp;A&amp;R&amp;"Arial,Italic"NJAES Report 2007-1 ©2007 
  New Jersey Agricultural Experiment Station</oddFooter>
  </headerFooter>
  <rowBreaks count="1" manualBreakCount="1">
    <brk id="71" max="13" man="1"/>
  </rowBreaks>
  <ignoredErrors>
    <ignoredError sqref="D70" 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S199"/>
  <sheetViews>
    <sheetView topLeftCell="A107" zoomScale="70" zoomScaleNormal="75"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443</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0</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0</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0</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0</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0</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0</v>
      </c>
      <c r="D15" s="294">
        <f>E15*'Conversion Tables'!C14</f>
        <v>0</v>
      </c>
      <c r="E15" s="294">
        <f>C15*'Prac. Rec. Assumptions'!B11</f>
        <v>0</v>
      </c>
      <c r="F15" s="294">
        <f>$E15</f>
        <v>0</v>
      </c>
      <c r="G15" s="294">
        <f>$E15</f>
        <v>0</v>
      </c>
      <c r="H15" s="294">
        <f>$E15</f>
        <v>0</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0</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0</v>
      </c>
      <c r="D17" s="294">
        <f>E17*'Conversion Tables'!C16</f>
        <v>0</v>
      </c>
      <c r="E17" s="294">
        <f>C17*'Prac. Rec. Assumptions'!B13</f>
        <v>0</v>
      </c>
      <c r="F17" s="294">
        <f t="shared" si="2"/>
        <v>0</v>
      </c>
      <c r="G17" s="294">
        <f t="shared" si="2"/>
        <v>0</v>
      </c>
      <c r="H17" s="294">
        <f t="shared" si="2"/>
        <v>0</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0</v>
      </c>
      <c r="D18" s="294">
        <f>E18*'Conversion Tables'!C17</f>
        <v>0</v>
      </c>
      <c r="E18" s="294">
        <f>C18*'Prac. Rec. Assumptions'!B14</f>
        <v>0</v>
      </c>
      <c r="F18" s="294">
        <f t="shared" si="2"/>
        <v>0</v>
      </c>
      <c r="G18" s="294">
        <f t="shared" si="2"/>
        <v>0</v>
      </c>
      <c r="H18" s="294">
        <f t="shared" si="2"/>
        <v>0</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0</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0</v>
      </c>
      <c r="D20" s="294">
        <f>E20*'Conversion Tables'!C19</f>
        <v>0</v>
      </c>
      <c r="E20" s="294">
        <f>C20*'Prac. Rec. Assumptions'!B16</f>
        <v>0</v>
      </c>
      <c r="F20" s="294">
        <f t="shared" si="2"/>
        <v>0</v>
      </c>
      <c r="G20" s="294">
        <f t="shared" si="2"/>
        <v>0</v>
      </c>
      <c r="H20" s="294">
        <f t="shared" si="2"/>
        <v>0</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0</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Assumptions'!P15*1000*'Energy Content Assumptions'!C18</f>
        <v>2017</v>
      </c>
      <c r="D22" s="294">
        <f>E22*'Conversion Tables'!C21</f>
        <v>15732.6</v>
      </c>
      <c r="E22" s="294">
        <f>C22*'Prac. Rec. Assumptions'!B18</f>
        <v>1008.5</v>
      </c>
      <c r="F22" s="294">
        <f t="shared" si="2"/>
        <v>1008.5</v>
      </c>
      <c r="G22" s="294">
        <f t="shared" si="2"/>
        <v>1008.5</v>
      </c>
      <c r="H22" s="294">
        <f t="shared" si="2"/>
        <v>1008.5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0</v>
      </c>
      <c r="D23" s="294">
        <f>E23*'Conversion Tables'!C22</f>
        <v>0</v>
      </c>
      <c r="E23" s="294">
        <f>C23*'Prac. Rec. Assumptions'!B19</f>
        <v>0</v>
      </c>
      <c r="F23" s="297">
        <f t="shared" si="2"/>
        <v>0</v>
      </c>
      <c r="G23" s="297">
        <f t="shared" si="2"/>
        <v>0</v>
      </c>
      <c r="H23" s="297">
        <f t="shared" si="2"/>
        <v>0</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782.20500000000004</v>
      </c>
      <c r="D25" s="294">
        <f>E25*'Conversion Tables'!C24</f>
        <v>13845.0285</v>
      </c>
      <c r="E25" s="294">
        <f>C25*'Prac. Rec. Assumptions'!B21</f>
        <v>782.20500000000004</v>
      </c>
      <c r="F25" s="294">
        <f>($C25*(1+'Biomass Data Assumptions'!G$100))*'Prac. Rec. Assumptions'!$B21</f>
        <v>783.12974835331875</v>
      </c>
      <c r="G25" s="294">
        <f>($C25*(1+'Biomass Data Assumptions'!H$100))*'Prac. Rec. Assumptions'!$B21</f>
        <v>784.71503124472224</v>
      </c>
      <c r="H25" s="294">
        <f>($C25*(1+'Biomass Data Assumptions'!I$100))*'Prac. Rec. Assumptions'!$B21</f>
        <v>787.09295558182748</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16.739999999999998</v>
      </c>
      <c r="D26" s="294">
        <f>E26*'Conversion Tables'!C25</f>
        <v>261.14399999999995</v>
      </c>
      <c r="E26" s="294">
        <f>C26*'Prac. Rec. Assumptions'!B22</f>
        <v>16.739999999999998</v>
      </c>
      <c r="F26" s="294">
        <f>($C26*(1+'Biomass Data Assumptions'!G$100))*'Prac. Rec. Assumptions'!$B22</f>
        <v>16.759790575916231</v>
      </c>
      <c r="G26" s="294">
        <f>($C26*(1+'Biomass Data Assumptions'!H$100))*'Prac. Rec. Assumptions'!$B22</f>
        <v>16.793717277486913</v>
      </c>
      <c r="H26" s="294">
        <f>($C26*(1+'Biomass Data Assumptions'!I$100))*'Prac. Rec. Assumptions'!$B22</f>
        <v>16.844607329842933</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1149.8866666666665</v>
      </c>
      <c r="D27" s="294">
        <f>E27*'Conversion Tables'!C26</f>
        <v>17938.231999999996</v>
      </c>
      <c r="E27" s="294">
        <f>C27*'Prac. Rec. Assumptions'!B23</f>
        <v>1149.8866666666665</v>
      </c>
      <c r="F27" s="294">
        <f>($C27*(1+'Biomass Data Assumptions'!G$100))*'Prac. Rec. Assumptions'!$B23</f>
        <v>1151.2461003208916</v>
      </c>
      <c r="G27" s="294">
        <f>($C27*(1+'Biomass Data Assumptions'!H$100))*'Prac. Rec. Assumptions'!$B23</f>
        <v>1153.5765580138491</v>
      </c>
      <c r="H27" s="294">
        <f>($C27*(1+'Biomass Data Assumptions'!I$100))*'Prac. Rec. Assumptions'!$B23</f>
        <v>1157.0722445532849</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162.745</v>
      </c>
      <c r="D28" s="294">
        <f>E28*'Conversion Tables'!C27</f>
        <v>2880.5864999999999</v>
      </c>
      <c r="E28" s="294">
        <f>C28*'Prac. Rec. Assumptions'!B24</f>
        <v>162.745</v>
      </c>
      <c r="F28" s="294">
        <f>($C28*(1+'Biomass Data Assumptions'!G$100))*'Prac. Rec. Assumptions'!$B24</f>
        <v>162.93740246579969</v>
      </c>
      <c r="G28" s="294">
        <f>($C28*(1+'Biomass Data Assumptions'!H$100))*'Prac. Rec. Assumptions'!$B24</f>
        <v>163.26723526431348</v>
      </c>
      <c r="H28" s="294">
        <f>($C28*(1+'Biomass Data Assumptions'!I$100))*'Prac. Rec. Assumptions'!$B24</f>
        <v>163.76198446208411</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4128.5766666666659</v>
      </c>
      <c r="D29" s="295">
        <f>SUM(D13:D28)</f>
        <v>50657.590999999993</v>
      </c>
      <c r="E29" s="295">
        <f t="shared" si="3"/>
        <v>3120.0766666666664</v>
      </c>
      <c r="F29" s="295">
        <f>SUM(F13:F28)</f>
        <v>3122.5730417159261</v>
      </c>
      <c r="G29" s="295">
        <f>SUM(G13:G28)</f>
        <v>3126.8525418003715</v>
      </c>
      <c r="H29" s="295">
        <f>SUM(H13:H28)</f>
        <v>3133.2717919270394</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17510.198042399999</v>
      </c>
      <c r="D32" s="294">
        <f>E32*'Conversion Tables'!C29</f>
        <v>168097.90120704001</v>
      </c>
      <c r="E32" s="294">
        <f>C32*'Prac. Rec. Assumptions'!B26</f>
        <v>10506.11882544</v>
      </c>
      <c r="F32" s="294">
        <f>($C32*(1+'Biomass Data Assumptions'!G$100)*(1+'Biomass Data Assumptions'!C$82))*'Prac. Rec. Assumptions'!$B26</f>
        <v>10511.397630231522</v>
      </c>
      <c r="G32" s="294">
        <f>($C32*(1+'Biomass Data Assumptions'!H$100)*(1+'Biomass Data Assumptions'!D$82))*'Prac. Rec. Assumptions'!$B26</f>
        <v>10525.524292096095</v>
      </c>
      <c r="H32" s="294">
        <f>($C32*(1+'Biomass Data Assumptions'!I$100)*(1+'Biomass Data Assumptions'!E$82))*'Prac. Rec. Assumptions'!$B26</f>
        <v>10550.251548556094</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64584.074322</v>
      </c>
      <c r="D33" s="294">
        <f>E33*'Conversion Tables'!C30</f>
        <v>750311.9418432673</v>
      </c>
      <c r="E33" s="294">
        <f>C33*'Prac. Rec. Assumptions'!B27</f>
        <v>51667.259457600005</v>
      </c>
      <c r="F33" s="294">
        <f>($C33*(1+'Biomass Data Assumptions'!G$100)*(1+'Biomass Data Assumptions'!C$82))*'Prac. Rec. Assumptions'!$B27</f>
        <v>51693.219698610133</v>
      </c>
      <c r="G33" s="294">
        <f>($C33*(1+'Biomass Data Assumptions'!H$100)*(1+'Biomass Data Assumptions'!D$82))*'Prac. Rec. Assumptions'!$B27</f>
        <v>51762.692157084464</v>
      </c>
      <c r="H33" s="294">
        <f>($C33*(1+'Biomass Data Assumptions'!I$100)*(1+'Biomass Data Assumptions'!E$82))*'Prac. Rec. Assumptions'!$B27</f>
        <v>51884.296490370682</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49678.638145999998</v>
      </c>
      <c r="D34" s="294">
        <f>E34*'Conversion Tables'!C31</f>
        <v>519431.89187247271</v>
      </c>
      <c r="E34" s="294">
        <f>C34*'Prac. Rec. Assumptions'!B28</f>
        <v>35768.619465120006</v>
      </c>
      <c r="F34" s="294">
        <f>($C34*(1+'Biomass Data Assumptions'!G$100)*(1+'Biomass Data Assumptions'!C$82))*'Prac. Rec. Assumptions'!$B28</f>
        <v>35786.59142631288</v>
      </c>
      <c r="G34" s="294">
        <f>($C34*(1+'Biomass Data Assumptions'!H$100)*(1+'Biomass Data Assumptions'!D$82))*'Prac. Rec. Assumptions'!$B28</f>
        <v>35834.68636993019</v>
      </c>
      <c r="H34" s="294">
        <f>($C34*(1+'Biomass Data Assumptions'!I$100)*(1+'Biomass Data Assumptions'!E$82))*'Prac. Rec. Assumptions'!$B28</f>
        <v>35918.871580608808</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25802.438399999999</v>
      </c>
      <c r="D35" s="294">
        <f>E35*'Conversion Tables'!C32</f>
        <v>292290.02219520003</v>
      </c>
      <c r="E35" s="294">
        <f>C35*'Prac. Rec. Assumptions'!B29</f>
        <v>16513.560576000003</v>
      </c>
      <c r="F35" s="294">
        <f>($C35*(1+'Biomass Data Assumptions'!G$100)*(1+'Biomass Data Assumptions'!C$83))*'Prac. Rec. Assumptions'!$B29</f>
        <v>17363.227641747533</v>
      </c>
      <c r="G35" s="294">
        <f>($C35*(1+'Biomass Data Assumptions'!H$100)*(1+'Biomass Data Assumptions'!D$83))*'Prac. Rec. Assumptions'!$B29</f>
        <v>18271.967348521284</v>
      </c>
      <c r="H35" s="294">
        <f>($C35*(1+'Biomass Data Assumptions'!I$100)*(1+'Biomass Data Assumptions'!E$83))*'Prac. Rec. Assumptions'!$B29</f>
        <v>19247.5725701314</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434.83749999999998</v>
      </c>
      <c r="D37" s="294">
        <f>E37*'Conversion Tables'!C34</f>
        <v>6957.4</v>
      </c>
      <c r="E37" s="294">
        <f>C37*'Prac. Rec. Assumptions'!B31</f>
        <v>434.83749999999998</v>
      </c>
      <c r="F37" s="294">
        <f>($C37*(1+'Biomass Data Assumptions'!G$100)*(1+'Biomass Data Assumptions'!C$84))*'Prac. Rec. Assumptions'!$B31</f>
        <v>476.04658395655503</v>
      </c>
      <c r="G37" s="294">
        <f>($C37*(1+'Biomass Data Assumptions'!H$100)*(1+'Biomass Data Assumptions'!D$84))*'Prac. Rec. Assumptions'!$B31</f>
        <v>521.59933863337938</v>
      </c>
      <c r="H37" s="294">
        <f>($C37*(1+'Biomass Data Assumptions'!I$100)*(1+'Biomass Data Assumptions'!E$84))*'Prac. Rec. Assumptions'!$B31</f>
        <v>572.08480789842588</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21998.567999999999</v>
      </c>
      <c r="D38" s="294">
        <f>E38*'Conversion Tables'!C35</f>
        <v>194687.32679999998</v>
      </c>
      <c r="E38" s="294">
        <f>C38*'Prac. Rec. Assumptions'!B32</f>
        <v>10999.284</v>
      </c>
      <c r="F38" s="294">
        <f>($C38*(1+'Biomass Data Assumptions'!G$100)*(1+'Biomass Data Assumptions'!C$84))*'Prac. Rec. Assumptions'!$B32</f>
        <v>12041.674359198532</v>
      </c>
      <c r="G38" s="294">
        <f>($C38*(1+'Biomass Data Assumptions'!H$100)*(1+'Biomass Data Assumptions'!D$84))*'Prac. Rec. Assumptions'!$B32</f>
        <v>13193.938562890073</v>
      </c>
      <c r="H38" s="294">
        <f>($C38*(1+'Biomass Data Assumptions'!I$100)*(1+'Biomass Data Assumptions'!E$84))*'Prac. Rec. Assumptions'!$B32</f>
        <v>14470.976569776594</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37196.334000000003</v>
      </c>
      <c r="D39" s="299">
        <f>E39*'Conversion Tables'!C36</f>
        <v>0</v>
      </c>
      <c r="E39" s="299">
        <f>C39*'Prac. Rec. Assumptions'!B33</f>
        <v>0</v>
      </c>
      <c r="F39" s="294">
        <f>($C39*(1+'Biomass Data Assumptions'!G$100)*(1+'Biomass Data Assumptions'!C$84))*'Prac. Rec. Assumptions'!$B33</f>
        <v>0</v>
      </c>
      <c r="G39" s="294">
        <f>($C39*(1+'Biomass Data Assumptions'!H$100)*(1+'Biomass Data Assumptions'!D$84))*'Prac. Rec. Assumptions'!$B33</f>
        <v>0</v>
      </c>
      <c r="H39" s="294">
        <f>($C39*(1+'Biomass Data Assumptions'!I$100)*(1+'Biomass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21370.392</v>
      </c>
      <c r="D40" s="299">
        <f>E40*'Conversion Tables'!C37</f>
        <v>0</v>
      </c>
      <c r="E40" s="299">
        <f>C40*'Prac. Rec. Assumptions'!B34</f>
        <v>0</v>
      </c>
      <c r="F40" s="294">
        <f>($C40*(1+'Biomass Data Assumptions'!G$100)*(1+'Biomass Data Assumptions'!C$84))*'Prac. Rec. Assumptions'!$B34</f>
        <v>0</v>
      </c>
      <c r="G40" s="294">
        <f>($C40*(1+'Biomass Data Assumptions'!H$100)*(1+'Biomass Data Assumptions'!D$84))*'Prac. Rec. Assumptions'!$B34</f>
        <v>0</v>
      </c>
      <c r="H40" s="294">
        <f>($C40*(1+'Biomass Data Assumptions'!I$100)*(1+'Biomass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8930.9969999999994</v>
      </c>
      <c r="D41" s="299">
        <f>E41*'Conversion Tables'!C38</f>
        <v>0</v>
      </c>
      <c r="E41" s="299">
        <f>C41*'Prac. Rec. Assumptions'!B35</f>
        <v>0</v>
      </c>
      <c r="F41" s="294">
        <f>($C41*(1+'Biomass Data Assumptions'!G$100)*(1+'Biomass Data Assumptions'!C$84))*'Prac. Rec. Assumptions'!$B35</f>
        <v>0</v>
      </c>
      <c r="G41" s="294">
        <f>($C41*(1+'Biomass Data Assumptions'!H$100)*(1+'Biomass Data Assumptions'!D$84))*'Prac. Rec. Assumptions'!$B35</f>
        <v>0</v>
      </c>
      <c r="H41" s="294">
        <f>($C41*(1+'Biomass Data Assumptions'!I$100)*(1+'Biomass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25009.011000000002</v>
      </c>
      <c r="D42" s="299">
        <f>E42*'Conversion Tables'!C39</f>
        <v>363180.85774200002</v>
      </c>
      <c r="E42" s="299">
        <f>C42*'Prac. Rec. Assumptions'!B36</f>
        <v>25009.011000000002</v>
      </c>
      <c r="F42" s="294">
        <f>($C42*(1+'Biomass Data Assumptions'!G$100)*(1+'Biomass Data Assumptions'!C$84))*'Prac. Rec. Assumptions'!$B36</f>
        <v>27379.088175886187</v>
      </c>
      <c r="G42" s="294">
        <f>($C42*(1+'Biomass Data Assumptions'!H$100)*(1+'Biomass Data Assumptions'!D$84))*'Prac. Rec. Assumptions'!$B36</f>
        <v>29998.984902348377</v>
      </c>
      <c r="H42" s="294">
        <f>($C42*(1+'Biomass Data Assumptions'!I$100)*(1+'Biomass Data Assumptions'!E$84))*'Prac. Rec. Assumptions'!$B36</f>
        <v>32902.579132813109</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272515.48841039999</v>
      </c>
      <c r="D43" s="295">
        <f t="shared" si="4"/>
        <v>2294957.3416599799</v>
      </c>
      <c r="E43" s="295">
        <f t="shared" si="4"/>
        <v>150898.69082416</v>
      </c>
      <c r="F43" s="295">
        <f t="shared" si="4"/>
        <v>155251.24551594336</v>
      </c>
      <c r="G43" s="295">
        <f t="shared" si="4"/>
        <v>160109.39297150387</v>
      </c>
      <c r="H43" s="295">
        <f t="shared" si="4"/>
        <v>165546.63270015511</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0</v>
      </c>
      <c r="D46" s="294">
        <f>E46*'Conversion Tables'!C41</f>
        <v>0</v>
      </c>
      <c r="E46" s="294">
        <f>C46*'Prac. Rec. Assumptions'!B38</f>
        <v>0</v>
      </c>
      <c r="F46" s="294">
        <f>$E46</f>
        <v>0</v>
      </c>
      <c r="G46" s="294">
        <f>$E46</f>
        <v>0</v>
      </c>
      <c r="H46" s="294">
        <f>$E46</f>
        <v>0</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2372.1548400000001</v>
      </c>
      <c r="D47" s="294"/>
      <c r="E47" s="294">
        <f>C47*'Prac. Rec. Assumptions'!B39</f>
        <v>1186.0774200000001</v>
      </c>
      <c r="F47" s="294">
        <f>($C47*(1+'Biomass Data Assumptions'!G$100))*'Prac. Rec. Assumptions'!$B39</f>
        <v>1187.4796395473738</v>
      </c>
      <c r="G47" s="294">
        <f>($C47*(1+'Biomass Data Assumptions'!H$100))*'Prac. Rec. Assumptions'!$B39</f>
        <v>1189.8834444857289</v>
      </c>
      <c r="H47" s="294">
        <f>($C47*(1+'Biomass Data Assumptions'!I$100))*'Prac. Rec. Assumptions'!$B39</f>
        <v>1193.4891518932616</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212.00341050000003</v>
      </c>
      <c r="D48" s="294"/>
      <c r="E48" s="294">
        <f>C48*'Prac. Rec. Assumptions'!B40</f>
        <v>212.00341050000003</v>
      </c>
      <c r="F48" s="294">
        <f>($C48*(1+'Biomass Data Assumptions'!G$100))*'Prac. Rec. Assumptions'!$B40</f>
        <v>212.25404787096778</v>
      </c>
      <c r="G48" s="294">
        <f>($C48*(1+'Biomass Data Assumptions'!H$100))*'Prac. Rec. Assumptions'!$B40</f>
        <v>212.68371193548393</v>
      </c>
      <c r="H48" s="294">
        <f>($C48*(1+'Biomass Data Assumptions'!I$100))*'Prac. Rec. Assumptions'!$B40</f>
        <v>213.32820803225812</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2584.1582505000001</v>
      </c>
      <c r="D49" s="295">
        <f>SUM(D45:D48)</f>
        <v>0</v>
      </c>
      <c r="E49" s="295">
        <f t="shared" si="6"/>
        <v>1398.0808305</v>
      </c>
      <c r="F49" s="295">
        <f>SUM(F45:F48)</f>
        <v>1399.7336874183416</v>
      </c>
      <c r="G49" s="295">
        <f>SUM(G45:G48)</f>
        <v>1402.5671564212128</v>
      </c>
      <c r="H49" s="295">
        <f>SUM(H45:H48)</f>
        <v>1406.8173599255197</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0</v>
      </c>
      <c r="D52" s="299">
        <f>E52*'Conversion Tables'!C45</f>
        <v>0</v>
      </c>
      <c r="E52" s="299">
        <f>C52*'Prac. Rec. Assumptions'!B42</f>
        <v>0</v>
      </c>
      <c r="F52" s="294">
        <f t="shared" ref="F52:H59" si="7">$E52</f>
        <v>0</v>
      </c>
      <c r="G52" s="294">
        <f t="shared" si="7"/>
        <v>0</v>
      </c>
      <c r="H52" s="294">
        <f t="shared" si="7"/>
        <v>0</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0</v>
      </c>
      <c r="D53" s="299">
        <f>E53*'Conversion Tables'!C46</f>
        <v>0</v>
      </c>
      <c r="E53" s="299">
        <f>C53*'Prac. Rec. Assumptions'!B43</f>
        <v>0</v>
      </c>
      <c r="F53" s="294">
        <f t="shared" si="7"/>
        <v>0</v>
      </c>
      <c r="G53" s="294">
        <f t="shared" si="7"/>
        <v>0</v>
      </c>
      <c r="H53" s="294">
        <f t="shared" si="7"/>
        <v>0</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0</v>
      </c>
      <c r="D54" s="299">
        <f>E54*'Conversion Tables'!C47</f>
        <v>0</v>
      </c>
      <c r="E54" s="299">
        <f>C54*'Prac. Rec. Assumptions'!B44</f>
        <v>0</v>
      </c>
      <c r="F54" s="294">
        <f t="shared" si="7"/>
        <v>0</v>
      </c>
      <c r="G54" s="294">
        <f t="shared" si="7"/>
        <v>0</v>
      </c>
      <c r="H54" s="294">
        <f t="shared" si="7"/>
        <v>0</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0</v>
      </c>
      <c r="D55" s="299">
        <f>E55*'Conversion Tables'!C48</f>
        <v>0</v>
      </c>
      <c r="E55" s="299">
        <f>C55*'Prac. Rec. Assumptions'!B45</f>
        <v>0</v>
      </c>
      <c r="F55" s="294">
        <f t="shared" si="7"/>
        <v>0</v>
      </c>
      <c r="G55" s="294">
        <f t="shared" si="7"/>
        <v>0</v>
      </c>
      <c r="H55" s="294">
        <f t="shared" si="7"/>
        <v>0</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0</v>
      </c>
      <c r="D56" s="299">
        <f>E56*'Conversion Tables'!C49</f>
        <v>0</v>
      </c>
      <c r="E56" s="299">
        <f>C56*'Prac. Rec. Assumptions'!B46</f>
        <v>0</v>
      </c>
      <c r="F56" s="294">
        <f t="shared" si="7"/>
        <v>0</v>
      </c>
      <c r="G56" s="294">
        <f t="shared" si="7"/>
        <v>0</v>
      </c>
      <c r="H56" s="294">
        <f t="shared" si="7"/>
        <v>0</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0</v>
      </c>
      <c r="D57" s="299">
        <f>E57*'Conversion Tables'!C50</f>
        <v>0</v>
      </c>
      <c r="E57" s="299">
        <f>C57*'Prac. Rec. Assumptions'!B47</f>
        <v>0</v>
      </c>
      <c r="F57" s="294">
        <f t="shared" si="7"/>
        <v>0</v>
      </c>
      <c r="G57" s="294">
        <f t="shared" si="7"/>
        <v>0</v>
      </c>
      <c r="H57" s="294">
        <f t="shared" si="7"/>
        <v>0</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0</v>
      </c>
      <c r="D58" s="299">
        <f>E58*'Conversion Tables'!C51</f>
        <v>0</v>
      </c>
      <c r="E58" s="299">
        <f>C58*'Prac. Rec. Assumptions'!B48</f>
        <v>0</v>
      </c>
      <c r="F58" s="294">
        <f t="shared" si="7"/>
        <v>0</v>
      </c>
      <c r="G58" s="294">
        <f t="shared" si="7"/>
        <v>0</v>
      </c>
      <c r="H58" s="294">
        <f t="shared" si="7"/>
        <v>0</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0</v>
      </c>
      <c r="D59" s="299">
        <f>E59*'Conversion Tables'!C52</f>
        <v>0</v>
      </c>
      <c r="E59" s="299">
        <f>C59*'Prac. Rec. Assumptions'!B49</f>
        <v>0</v>
      </c>
      <c r="F59" s="294">
        <f t="shared" si="7"/>
        <v>0</v>
      </c>
      <c r="G59" s="294">
        <f t="shared" si="7"/>
        <v>0</v>
      </c>
      <c r="H59" s="294">
        <f t="shared" si="7"/>
        <v>0</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Assumptions'!AE15</f>
        <v>1009.9364219999998</v>
      </c>
      <c r="D60" s="299">
        <f>E60*'Conversion Tables'!C53</f>
        <v>12119.237063999997</v>
      </c>
      <c r="E60" s="299">
        <f>C60*'Prac. Rec. Assumptions'!B50</f>
        <v>1009.9364219999998</v>
      </c>
      <c r="F60" s="294">
        <f>($C60*(1+'Biomass Data Assumptions'!G$100*(4/5)))*'Prac. Rec. Assumptions'!$B50</f>
        <v>1010.8916059154195</v>
      </c>
      <c r="G60" s="294">
        <f>($C60*(1+'Biomass Data Assumptions'!H$100*(9/10)))*'Prac. Rec. Assumptions'!$B50</f>
        <v>1012.8531443131563</v>
      </c>
      <c r="H60" s="294">
        <f>($C60*(1+'Biomass Data Assumptions'!I$100*(14/15)))*'Prac. Rec. Assumptions'!$B50</f>
        <v>1015.8267228117546</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1009.9364219999998</v>
      </c>
      <c r="D61" s="295">
        <f>SUM(D52:D60)</f>
        <v>12119.237063999997</v>
      </c>
      <c r="E61" s="295">
        <f t="shared" ref="E61:P61" si="8">SUM(E52:E60)</f>
        <v>1009.9364219999998</v>
      </c>
      <c r="F61" s="295">
        <f>SUM(F52:F60)</f>
        <v>1010.8916059154195</v>
      </c>
      <c r="G61" s="295">
        <f>SUM(G52:G60)</f>
        <v>1012.8531443131563</v>
      </c>
      <c r="H61" s="295">
        <f>SUM(H52:H60)</f>
        <v>1015.8267228117546</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Assumptions'!AB15</f>
        <v>129.24736870000001</v>
      </c>
      <c r="D63" s="300">
        <f>E63*'Conversion Tables'!C55</f>
        <v>80004.121225300012</v>
      </c>
      <c r="E63" s="299">
        <f>C63*'Prac. Rec. Assumptions'!B51</f>
        <v>129.24736870000001</v>
      </c>
      <c r="F63" s="294">
        <f>($C63*(1+'Biomass Data Assumptions'!G$100*(4/5)))*'Prac. Rec. Assumptions'!$B51</f>
        <v>129.36960907573385</v>
      </c>
      <c r="G63" s="294">
        <f>($C63*(1+'Biomass Data Assumptions'!H$100*(9/10)))*'Prac. Rec. Assumptions'!$B51</f>
        <v>129.62063841875866</v>
      </c>
      <c r="H63" s="294">
        <f>($C63*(1+'Biomass Data Assumptions'!I$100*(14/15)))*'Prac. Rec. Assumptions'!$B51</f>
        <v>130.00118435035864</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Assumptions'!X15</f>
        <v>0</v>
      </c>
      <c r="D64" s="300">
        <f>E64*'Conversion Tables'!C56</f>
        <v>0</v>
      </c>
      <c r="E64" s="299">
        <f>C64*'Prac. Rec. Assumptions'!B52</f>
        <v>0</v>
      </c>
      <c r="F64" s="545">
        <f>($C64*(1+'Biomass Data Assumptions'!G$100*(3/5))*(1+('Biomass Data Assumptions'!C$82-((1+'Biomass Data Assumptions'!$B$82)^2 - 1))))*'Prac. Rec. Assumptions'!$B52</f>
        <v>0</v>
      </c>
      <c r="G64" s="545">
        <f>($C64*(1+'Biomass Data Assumptions'!H$100*(4/5))*(1+('Biomass Data Assumptions'!D$82-((1+'Biomass Data Assumptions'!$B$82)^2 - 1))))*'Prac. Rec. Assumptions'!$B52</f>
        <v>0</v>
      </c>
      <c r="H64" s="545">
        <f>($C64*(1+'Biomass Data Assumptions'!I$100*(13/15))*(1+('Biomass Data Assumptions'!E$82-((1+'Biomass Data Assumptions'!$B$82)^2 - 1))))*'Prac. Rec. Assumptions'!$B52</f>
        <v>0</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129.24736870000001</v>
      </c>
      <c r="D65" s="295">
        <f>SUM(D63:D64)</f>
        <v>80004.121225300012</v>
      </c>
      <c r="E65" s="295">
        <f t="shared" ref="E65:P65" si="9">SUM(E63:E64)</f>
        <v>129.24736870000001</v>
      </c>
      <c r="F65" s="295">
        <f>SUM(F63:F64)</f>
        <v>129.36960907573385</v>
      </c>
      <c r="G65" s="295">
        <f>SUM(G63:G64)</f>
        <v>129.62063841875866</v>
      </c>
      <c r="H65" s="295">
        <f>SUM(H63:H64)</f>
        <v>130.00118435035864</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5393.1112143971977</v>
      </c>
      <c r="D67" s="295">
        <f t="shared" ref="D67" si="10">D61+D65</f>
        <v>92123.358289300013</v>
      </c>
      <c r="E67" s="295">
        <f>E61+(E63*1000000/29487.1582406855)+(E64*1000000/25364.5039539246)</f>
        <v>5393.1112143971977</v>
      </c>
      <c r="F67" s="295">
        <f t="shared" ref="F67:H67" si="11">F61+(F63*1000000/29487.1582406855)+(F64*1000000/25364.5039539246)</f>
        <v>5398.2119444766831</v>
      </c>
      <c r="G67" s="295">
        <f t="shared" si="11"/>
        <v>5408.6866580327651</v>
      </c>
      <c r="H67" s="295">
        <f t="shared" si="11"/>
        <v>5424.565716554016</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284621.33454196382</v>
      </c>
      <c r="D68" s="132"/>
      <c r="E68" s="132">
        <f>E11+E29+E43+E49+E67</f>
        <v>160809.95953572384</v>
      </c>
      <c r="F68" s="132">
        <f>F11+F29+F43+F49+F67</f>
        <v>165171.76418955429</v>
      </c>
      <c r="G68" s="132">
        <f>G11+G29+G43+G49+G67</f>
        <v>170047.49932775824</v>
      </c>
      <c r="H68" s="132">
        <f>H11+H29+H43+H49+H67</f>
        <v>175511.28756856167</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0</v>
      </c>
      <c r="C74" s="40">
        <f>'Biomass Data Assumptions'!B38*B74</f>
        <v>0</v>
      </c>
      <c r="D74" s="40">
        <f>(C74*'Biomass Data Assumptions'!C38)/2000</f>
        <v>0</v>
      </c>
      <c r="E74" s="41"/>
      <c r="F74" s="41"/>
      <c r="G74" s="41"/>
      <c r="H74" s="36"/>
      <c r="I74" s="36"/>
      <c r="J74" s="36"/>
      <c r="K74" s="36"/>
      <c r="L74" s="36"/>
      <c r="M74" s="36"/>
      <c r="N74" s="36"/>
      <c r="O74" s="36"/>
      <c r="P74" s="36"/>
      <c r="Q74" s="36"/>
      <c r="R74" s="36"/>
    </row>
    <row r="75" spans="1:19" x14ac:dyDescent="0.25">
      <c r="A75" s="39" t="s">
        <v>520</v>
      </c>
      <c r="B75" s="21">
        <v>0</v>
      </c>
      <c r="C75" s="40">
        <f>'Biomass Data Assumptions'!B39*B75</f>
        <v>0</v>
      </c>
      <c r="D75" s="40">
        <f>(C75*'Biomass Data Assumptions'!C39)/2000</f>
        <v>0</v>
      </c>
      <c r="E75" s="41"/>
      <c r="F75" s="41"/>
      <c r="G75" s="41"/>
      <c r="H75" s="36"/>
      <c r="I75" s="36"/>
      <c r="J75" s="36"/>
      <c r="K75" s="36"/>
      <c r="L75" s="36"/>
      <c r="M75" s="36"/>
      <c r="N75" s="36"/>
      <c r="O75" s="36"/>
      <c r="P75" s="36"/>
      <c r="Q75" s="36"/>
      <c r="R75" s="36"/>
    </row>
    <row r="76" spans="1:19" x14ac:dyDescent="0.25">
      <c r="A76" s="39" t="s">
        <v>521</v>
      </c>
      <c r="B76" s="21">
        <v>0</v>
      </c>
      <c r="C76" s="40">
        <f>'Biomass Data Assumptions'!B40*B76</f>
        <v>0</v>
      </c>
      <c r="D76" s="40">
        <f>(C76*'Biomass Data Assumptions'!C40)/2000</f>
        <v>0</v>
      </c>
      <c r="E76" s="41"/>
      <c r="F76" s="41"/>
      <c r="G76" s="41"/>
      <c r="H76" s="36"/>
      <c r="I76" s="36"/>
      <c r="J76" s="36"/>
      <c r="K76" s="36"/>
      <c r="L76" s="36"/>
      <c r="M76" s="36"/>
      <c r="N76" s="36"/>
      <c r="O76" s="36"/>
      <c r="P76" s="36"/>
      <c r="Q76" s="36"/>
      <c r="R76" s="36"/>
    </row>
    <row r="77" spans="1:19" x14ac:dyDescent="0.25">
      <c r="A77" s="39" t="s">
        <v>525</v>
      </c>
      <c r="B77" s="21">
        <v>0</v>
      </c>
      <c r="C77" s="40">
        <f>'Biomass Data Assumptions'!B41*B77</f>
        <v>0</v>
      </c>
      <c r="D77" s="40">
        <f>(C77*'Biomass Data Assumptions'!C41)/2000</f>
        <v>0</v>
      </c>
      <c r="E77" s="41"/>
      <c r="F77" s="41"/>
      <c r="G77" s="41"/>
      <c r="H77" s="36"/>
      <c r="I77" s="36"/>
      <c r="J77" s="36"/>
      <c r="K77" s="36"/>
      <c r="L77" s="36"/>
      <c r="M77" s="36"/>
      <c r="N77" s="36"/>
      <c r="O77" s="36"/>
      <c r="P77" s="36"/>
      <c r="Q77" s="36"/>
      <c r="R77" s="36"/>
    </row>
    <row r="78" spans="1:19" x14ac:dyDescent="0.25">
      <c r="A78" s="39" t="s">
        <v>522</v>
      </c>
      <c r="B78" s="21">
        <v>0</v>
      </c>
      <c r="C78" s="40">
        <f>'Biomass Data Assumptions'!B42*B78</f>
        <v>0</v>
      </c>
      <c r="D78" s="40">
        <f>(C78*'Biomass Data Assumptions'!C42)/2000</f>
        <v>0</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0</v>
      </c>
      <c r="C81" s="40">
        <f>'Biomass Data Assumptions'!B49*B81</f>
        <v>0</v>
      </c>
      <c r="D81" s="40">
        <f>C81*'Energy Content Assumptions'!C11</f>
        <v>0</v>
      </c>
      <c r="E81" s="41"/>
      <c r="F81" s="41"/>
      <c r="G81" s="41"/>
      <c r="H81" s="36"/>
      <c r="I81" s="36"/>
      <c r="J81" s="36"/>
      <c r="K81" s="36"/>
      <c r="L81" s="36"/>
      <c r="M81" s="36"/>
      <c r="N81" s="36"/>
      <c r="O81" s="36"/>
      <c r="P81" s="36"/>
      <c r="Q81" s="36"/>
      <c r="R81" s="36"/>
    </row>
    <row r="82" spans="1:18" x14ac:dyDescent="0.25">
      <c r="A82" s="39" t="s">
        <v>520</v>
      </c>
      <c r="B82" s="21">
        <v>0</v>
      </c>
      <c r="C82" s="40">
        <f>'Biomass Data Assumptions'!B50*B82</f>
        <v>0</v>
      </c>
      <c r="D82" s="40">
        <f>C82*'Energy Content Assumptions'!C12</f>
        <v>0</v>
      </c>
      <c r="E82" s="41"/>
      <c r="F82" s="41"/>
      <c r="G82" s="41"/>
      <c r="H82" s="36"/>
      <c r="I82" s="36"/>
      <c r="J82" s="36"/>
      <c r="K82" s="36"/>
      <c r="L82" s="36"/>
      <c r="M82" s="36"/>
      <c r="N82" s="36"/>
      <c r="O82" s="36"/>
      <c r="P82" s="36"/>
      <c r="Q82" s="36"/>
      <c r="R82" s="36"/>
    </row>
    <row r="83" spans="1:18" x14ac:dyDescent="0.25">
      <c r="A83" s="39" t="s">
        <v>521</v>
      </c>
      <c r="B83" s="21">
        <v>0</v>
      </c>
      <c r="C83" s="40">
        <f>'Biomass Data Assumptions'!B51*B83</f>
        <v>0</v>
      </c>
      <c r="D83" s="40">
        <f>C83*'Energy Content Assumptions'!C13</f>
        <v>0</v>
      </c>
      <c r="E83" s="41"/>
      <c r="F83" s="41"/>
      <c r="G83" s="41"/>
      <c r="H83" s="36"/>
      <c r="I83" s="36"/>
      <c r="J83" s="36"/>
      <c r="K83" s="36"/>
      <c r="L83" s="36"/>
      <c r="M83" s="36"/>
      <c r="N83" s="36"/>
      <c r="O83" s="36"/>
      <c r="P83" s="36"/>
      <c r="Q83" s="36"/>
      <c r="R83" s="36"/>
    </row>
    <row r="84" spans="1:18" x14ac:dyDescent="0.25">
      <c r="A84" s="39" t="s">
        <v>528</v>
      </c>
      <c r="B84" s="21">
        <v>0</v>
      </c>
      <c r="C84" s="40">
        <f>'Biomass Data Assumptions'!B52*B84</f>
        <v>0</v>
      </c>
      <c r="D84" s="40">
        <f>C84*'Energy Content Assumptions'!C14</f>
        <v>0</v>
      </c>
      <c r="E84" s="41"/>
      <c r="F84" s="41"/>
      <c r="G84" s="41"/>
      <c r="H84" s="36"/>
      <c r="I84" s="36"/>
      <c r="J84" s="36"/>
      <c r="K84" s="36"/>
      <c r="L84" s="36"/>
      <c r="M84" s="36"/>
      <c r="N84" s="36"/>
      <c r="O84" s="36"/>
      <c r="P84" s="36"/>
      <c r="Q84" s="36"/>
      <c r="R84" s="36"/>
    </row>
    <row r="85" spans="1:18" x14ac:dyDescent="0.25">
      <c r="A85" s="39" t="s">
        <v>529</v>
      </c>
      <c r="B85" s="21">
        <v>0</v>
      </c>
      <c r="C85" s="40">
        <f>'Biomass Data Assumptions'!B53*B85</f>
        <v>0</v>
      </c>
      <c r="D85" s="40">
        <f>C85*'Energy Content Assumptions'!C15</f>
        <v>0</v>
      </c>
      <c r="E85" s="41"/>
      <c r="F85" s="41"/>
      <c r="G85" s="41"/>
      <c r="H85" s="36"/>
      <c r="I85" s="36"/>
      <c r="J85" s="36"/>
      <c r="K85" s="36"/>
      <c r="L85" s="36"/>
      <c r="M85" s="36"/>
      <c r="N85" s="36"/>
      <c r="O85" s="36"/>
      <c r="P85" s="36"/>
      <c r="Q85" s="36"/>
      <c r="R85" s="36"/>
    </row>
    <row r="86" spans="1:18" x14ac:dyDescent="0.25">
      <c r="A86" s="39" t="s">
        <v>530</v>
      </c>
      <c r="B86" s="21">
        <v>0</v>
      </c>
      <c r="C86" s="40">
        <f>'Biomass Data Assumptions'!B54*B86</f>
        <v>0</v>
      </c>
      <c r="D86" s="40">
        <f>C86*'Energy Content Assumptions'!C16</f>
        <v>0</v>
      </c>
      <c r="E86" s="41"/>
      <c r="F86" s="41"/>
      <c r="G86" s="41"/>
      <c r="H86" s="36"/>
      <c r="I86" s="36"/>
      <c r="J86" s="36"/>
      <c r="K86" s="36"/>
      <c r="L86" s="36"/>
      <c r="M86" s="36"/>
      <c r="N86" s="36"/>
      <c r="O86" s="36"/>
      <c r="P86" s="36"/>
      <c r="Q86" s="36"/>
      <c r="R86" s="36"/>
    </row>
    <row r="87" spans="1:18" x14ac:dyDescent="0.25">
      <c r="A87" s="39" t="s">
        <v>522</v>
      </c>
      <c r="B87" s="21">
        <v>0</v>
      </c>
      <c r="C87" s="40">
        <f>'Biomass Data Assumptions'!B55*B87</f>
        <v>0</v>
      </c>
      <c r="D87" s="40">
        <f>C87*'Energy Content Assumptions'!C17</f>
        <v>0</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533</v>
      </c>
      <c r="D92" s="38" t="s">
        <v>534</v>
      </c>
      <c r="E92" s="38" t="s">
        <v>568</v>
      </c>
      <c r="F92" s="38" t="s">
        <v>569</v>
      </c>
      <c r="G92" s="38" t="s">
        <v>554</v>
      </c>
      <c r="H92" s="36" t="s">
        <v>599</v>
      </c>
      <c r="I92" s="36"/>
      <c r="J92" s="38"/>
      <c r="K92" s="38"/>
      <c r="L92" s="38"/>
      <c r="M92" s="38"/>
      <c r="N92" s="36"/>
      <c r="O92" s="36"/>
      <c r="P92" s="36"/>
      <c r="Q92" s="36"/>
      <c r="R92" s="36"/>
    </row>
    <row r="93" spans="1:18" ht="11.25" customHeight="1"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0</v>
      </c>
      <c r="C97" s="41">
        <f>ROUND('Biomass Data Assumptions'!$B$60/1000*B97,0)</f>
        <v>0</v>
      </c>
      <c r="D97" s="41">
        <f>'Biomass Data Assumptions'!$C$60*C97</f>
        <v>0</v>
      </c>
      <c r="E97" s="41">
        <f>('Biomass Data Assumptions'!$D$60*'Energy Content Assumptions'!$C$44*D97)/2000</f>
        <v>0</v>
      </c>
      <c r="F97" s="41">
        <f>('Biomass Data Assumptions'!$E$60*B97*365)/2000</f>
        <v>0</v>
      </c>
      <c r="G97" s="41">
        <f>F97+E97</f>
        <v>0</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0</v>
      </c>
      <c r="C100" s="41">
        <f>ROUND('Biomass Data Assumptions'!B62/1000*B100,0)</f>
        <v>0</v>
      </c>
      <c r="D100" s="41">
        <f>'Biomass Data Assumptions'!C62*C100</f>
        <v>0</v>
      </c>
      <c r="E100" s="41">
        <f>('Biomass Data Assumptions'!D62*'Energy Content Assumptions'!C46*D100)/2000</f>
        <v>0</v>
      </c>
      <c r="F100" s="41">
        <f>('Biomass Data Assumptions'!E62*B100*365)/2000</f>
        <v>0</v>
      </c>
      <c r="G100" s="41">
        <f>F100+E100</f>
        <v>0</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0</v>
      </c>
      <c r="C102" s="41">
        <f>ROUND('Biomass Data Assumptions'!B64/1000*B102,0)</f>
        <v>0</v>
      </c>
      <c r="D102" s="41">
        <f>'Biomass Data Assumptions'!C64*C102</f>
        <v>0</v>
      </c>
      <c r="E102" s="41">
        <f>('Biomass Data Assumptions'!D64*'Energy Content Assumptions'!C48*D102)/2000</f>
        <v>0</v>
      </c>
      <c r="F102" s="41">
        <f>'Biomass Data Assumptions'!E64*B102*365/2000</f>
        <v>0</v>
      </c>
      <c r="G102" s="41">
        <f>F102+E102</f>
        <v>0</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v>0</v>
      </c>
      <c r="C104" s="41">
        <f>SUM(C100:C103)</f>
        <v>0</v>
      </c>
      <c r="D104" s="41">
        <f>SUM(D100:D103)</f>
        <v>0</v>
      </c>
      <c r="E104" s="41">
        <f>SUM(E100:E103)</f>
        <v>0</v>
      </c>
      <c r="F104" s="41">
        <f>SUM(F100:F103)</f>
        <v>0</v>
      </c>
      <c r="G104" s="41">
        <f>SUM(G100:G103)</f>
        <v>0</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0</v>
      </c>
      <c r="C106" s="41">
        <f>ROUND('Biomass Data Assumptions'!B66/1000*B106,0)</f>
        <v>0</v>
      </c>
      <c r="D106" s="41">
        <f>'Biomass Data Assumptions'!C66*C106</f>
        <v>0</v>
      </c>
      <c r="E106" s="41">
        <f>('Biomass Data Assumptions'!D66*'Energy Content Assumptions'!C50*D106)/2000</f>
        <v>0</v>
      </c>
      <c r="F106" s="41">
        <f>'Biomass Data Assumptions'!E66*B106*365/2000</f>
        <v>0</v>
      </c>
      <c r="G106" s="41">
        <f>F106+E106</f>
        <v>0</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0</v>
      </c>
      <c r="C108" s="41">
        <f>ROUND('Biomass Data Assumptions'!B67/1000*B108,0)</f>
        <v>0</v>
      </c>
      <c r="D108" s="41">
        <f>'Biomass Data Assumptions'!C67*C108</f>
        <v>0</v>
      </c>
      <c r="E108" s="41">
        <f>('Biomass Data Assumptions'!D67*'Energy Content Assumptions'!C51*D108)/2000</f>
        <v>0</v>
      </c>
      <c r="F108" s="41">
        <f>'Biomass Data Assumptions'!E67*B108*365/2000</f>
        <v>0</v>
      </c>
      <c r="G108" s="41">
        <f>F108+E108</f>
        <v>0</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0</v>
      </c>
      <c r="C110" s="41">
        <f>ROUND('Biomass Data Assumptions'!B68/1000*B110,0)</f>
        <v>0</v>
      </c>
      <c r="D110" s="41">
        <f>'Biomass Data Assumptions'!C68*C110</f>
        <v>0</v>
      </c>
      <c r="E110" s="41">
        <f>('Biomass Data Assumptions'!D68*'Energy Content Assumptions'!C52*D110)/2000</f>
        <v>0</v>
      </c>
      <c r="F110" s="41">
        <f>'Biomass Data Assumptions'!E68*B110*365/2000</f>
        <v>0</v>
      </c>
      <c r="G110" s="41">
        <f>F110+E110</f>
        <v>0</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t="0.75" customHeight="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0</v>
      </c>
      <c r="C115" s="41">
        <f>ROUND('Biomass Data Assumptions'!$B$71/1000*B115,0)</f>
        <v>0</v>
      </c>
      <c r="D115" s="41">
        <f>'Biomass Data Assumptions'!$C$71*C115</f>
        <v>0</v>
      </c>
      <c r="E115" s="41">
        <f>('Biomass Data Assumptions'!$D$71*'Energy Content Assumptions'!$C$55*D115)/2000</f>
        <v>0</v>
      </c>
      <c r="F115" s="41">
        <f>'Biomass Data Assumptions'!$E$71*B115*365/2000</f>
        <v>0</v>
      </c>
      <c r="G115" s="41">
        <f>F115+E115</f>
        <v>0</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v>0</v>
      </c>
      <c r="C117" s="41">
        <f>ROUND('Biomass Data Assumptions'!B72/1000*B117,0)</f>
        <v>0</v>
      </c>
      <c r="D117" s="41">
        <f>'Biomass Data Assumptions'!C72*C117</f>
        <v>0</v>
      </c>
      <c r="E117" s="41">
        <f>('Biomass Data Assumptions'!D72*'Energy Content Assumptions'!C56*D117)/2000</f>
        <v>0</v>
      </c>
      <c r="F117" s="41">
        <f>'Biomass Data Assumptions'!E72*B117*365/2000</f>
        <v>0</v>
      </c>
      <c r="G117" s="41">
        <f>F117+E117</f>
        <v>0</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0</v>
      </c>
      <c r="C119" s="41">
        <f>ROUND('Biomass Data Assumptions'!B73/1000*B119,0)</f>
        <v>0</v>
      </c>
      <c r="D119" s="41">
        <f>'Biomass Data Assumptions'!C73*C119</f>
        <v>0</v>
      </c>
      <c r="E119" s="41">
        <f>('Biomass Data Assumptions'!D73*'Energy Content Assumptions'!C57*D119)/2000</f>
        <v>0</v>
      </c>
      <c r="F119" s="41">
        <f>'Biomass Data Assumptions'!E73*B119*365/2000</f>
        <v>0</v>
      </c>
      <c r="G119" s="41">
        <f>F119+E119</f>
        <v>0</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0</v>
      </c>
      <c r="C121" s="48">
        <f t="shared" si="14"/>
        <v>0</v>
      </c>
      <c r="D121" s="48">
        <f t="shared" si="14"/>
        <v>0</v>
      </c>
      <c r="E121" s="48">
        <f t="shared" si="14"/>
        <v>0</v>
      </c>
      <c r="F121" s="48">
        <f t="shared" si="14"/>
        <v>0</v>
      </c>
      <c r="G121" s="48">
        <f t="shared" si="14"/>
        <v>0</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6" t="s">
        <v>1013</v>
      </c>
      <c r="E123" s="36"/>
      <c r="F123" s="36"/>
      <c r="G123" s="36"/>
      <c r="H123" s="36"/>
      <c r="I123" s="36"/>
      <c r="J123" s="36"/>
      <c r="K123" s="36"/>
      <c r="L123" s="36"/>
      <c r="M123" s="36"/>
      <c r="N123" s="36"/>
      <c r="O123" s="36"/>
      <c r="P123" s="36"/>
      <c r="Q123" s="36"/>
      <c r="R123" s="36"/>
    </row>
    <row r="124" spans="1:18" x14ac:dyDescent="0.25">
      <c r="A124" s="50" t="s">
        <v>555</v>
      </c>
      <c r="B124" s="87">
        <v>41329.26</v>
      </c>
      <c r="C124" s="543">
        <f>B124*'Energy Content Assumptions'!C33</f>
        <v>37196.334000000003</v>
      </c>
      <c r="D124" s="36"/>
      <c r="E124" s="36"/>
      <c r="F124" s="36"/>
      <c r="G124" s="36"/>
      <c r="H124" s="36"/>
      <c r="I124" s="36"/>
      <c r="J124" s="36"/>
      <c r="K124" s="36"/>
      <c r="L124" s="36"/>
      <c r="M124" s="36"/>
      <c r="N124" s="36"/>
      <c r="O124" s="36"/>
      <c r="P124" s="36"/>
      <c r="Q124" s="36"/>
      <c r="R124" s="36"/>
    </row>
    <row r="125" spans="1:18" x14ac:dyDescent="0.25">
      <c r="A125" s="50" t="s">
        <v>556</v>
      </c>
      <c r="B125" s="87">
        <v>23744.880000000001</v>
      </c>
      <c r="C125" s="543">
        <f>B125*'Energy Content Assumptions'!C34</f>
        <v>21370.392</v>
      </c>
      <c r="D125" s="36"/>
      <c r="E125" s="36"/>
      <c r="F125" s="36"/>
      <c r="G125" s="36"/>
      <c r="H125" s="36"/>
      <c r="I125" s="36"/>
      <c r="J125" s="36"/>
      <c r="K125" s="36"/>
      <c r="L125" s="36"/>
      <c r="M125" s="36"/>
      <c r="N125" s="36"/>
      <c r="O125" s="36"/>
      <c r="P125" s="36"/>
      <c r="Q125" s="36"/>
      <c r="R125" s="36"/>
    </row>
    <row r="126" spans="1:18" x14ac:dyDescent="0.25">
      <c r="A126" s="50" t="s">
        <v>557</v>
      </c>
      <c r="B126" s="87">
        <v>9923.33</v>
      </c>
      <c r="C126" s="543">
        <f>B126*'Energy Content Assumptions'!C35</f>
        <v>8930.9969999999994</v>
      </c>
      <c r="D126" s="36"/>
      <c r="E126" s="36"/>
      <c r="F126" s="36"/>
      <c r="G126" s="36"/>
      <c r="H126" s="36"/>
      <c r="I126" s="36"/>
      <c r="J126" s="36"/>
      <c r="K126" s="36"/>
      <c r="L126" s="36"/>
      <c r="M126" s="36"/>
      <c r="N126" s="36"/>
      <c r="O126" s="36"/>
      <c r="P126" s="36"/>
      <c r="Q126" s="36"/>
      <c r="R126" s="36"/>
    </row>
    <row r="127" spans="1:18" x14ac:dyDescent="0.25">
      <c r="A127" s="50" t="s">
        <v>558</v>
      </c>
      <c r="B127" s="87">
        <v>27787.79</v>
      </c>
      <c r="C127" s="543">
        <f>B127*'Energy Content Assumptions'!C36</f>
        <v>25009.011000000002</v>
      </c>
      <c r="D127" s="36"/>
      <c r="E127" s="36"/>
      <c r="F127" s="36"/>
      <c r="G127" s="36"/>
      <c r="H127" s="36"/>
      <c r="I127" s="36"/>
      <c r="J127" s="36"/>
      <c r="K127" s="36"/>
      <c r="L127" s="36"/>
      <c r="M127" s="36"/>
      <c r="N127" s="36"/>
      <c r="O127" s="36"/>
      <c r="P127" s="36"/>
      <c r="Q127" s="36"/>
      <c r="R127" s="36"/>
    </row>
    <row r="128" spans="1:18" x14ac:dyDescent="0.25">
      <c r="A128" s="50" t="s">
        <v>559</v>
      </c>
      <c r="B128" s="87">
        <v>1564.41</v>
      </c>
      <c r="C128" s="543">
        <f>B128*'Energy Content Assumptions'!C21</f>
        <v>782.20500000000004</v>
      </c>
      <c r="D128" s="36"/>
      <c r="E128" s="36"/>
      <c r="F128" s="36"/>
      <c r="G128" s="36"/>
      <c r="H128" s="36"/>
      <c r="I128" s="36"/>
      <c r="J128" s="36"/>
      <c r="K128" s="36"/>
      <c r="L128" s="36"/>
      <c r="M128" s="36"/>
      <c r="N128" s="36"/>
      <c r="O128" s="36"/>
      <c r="P128" s="36"/>
      <c r="Q128" s="36"/>
      <c r="R128" s="36"/>
    </row>
    <row r="129" spans="1:18" x14ac:dyDescent="0.25">
      <c r="A129" s="50" t="s">
        <v>560</v>
      </c>
      <c r="B129" s="87">
        <v>50.22</v>
      </c>
      <c r="C129" s="543">
        <f>B129*'Energy Content Assumptions'!C22</f>
        <v>16.739999999999998</v>
      </c>
      <c r="D129" s="36"/>
      <c r="E129" s="36"/>
      <c r="F129" s="36"/>
      <c r="G129" s="36"/>
      <c r="H129" s="36"/>
      <c r="I129" s="36"/>
      <c r="J129" s="36"/>
      <c r="K129" s="36"/>
      <c r="L129" s="36"/>
      <c r="M129" s="36"/>
      <c r="N129" s="36"/>
      <c r="O129" s="36"/>
      <c r="P129" s="36"/>
      <c r="Q129" s="36"/>
      <c r="R129" s="36"/>
    </row>
    <row r="130" spans="1:18" x14ac:dyDescent="0.25">
      <c r="A130" s="50" t="s">
        <v>561</v>
      </c>
      <c r="B130" s="87">
        <v>3449.66</v>
      </c>
      <c r="C130" s="543">
        <f>B130*'Energy Content Assumptions'!C23</f>
        <v>1149.8866666666665</v>
      </c>
      <c r="D130" s="36"/>
      <c r="E130" s="36"/>
      <c r="F130" s="36"/>
      <c r="G130" s="36"/>
      <c r="H130" s="36"/>
      <c r="I130" s="36"/>
      <c r="J130" s="36"/>
      <c r="K130" s="36"/>
      <c r="L130" s="36"/>
      <c r="M130" s="36"/>
      <c r="N130" s="36"/>
      <c r="O130" s="36"/>
      <c r="P130" s="36"/>
      <c r="Q130" s="36"/>
      <c r="R130" s="36"/>
    </row>
    <row r="131" spans="1:18" x14ac:dyDescent="0.25">
      <c r="A131" s="50" t="s">
        <v>562</v>
      </c>
      <c r="B131" s="87">
        <v>325.49</v>
      </c>
      <c r="C131" s="543">
        <f>B131*'Energy Content Assumptions'!C24</f>
        <v>162.745</v>
      </c>
      <c r="D131" s="36"/>
      <c r="E131" s="36"/>
      <c r="F131" s="36"/>
      <c r="G131" s="36"/>
      <c r="H131" s="36"/>
      <c r="I131" s="36"/>
      <c r="J131" s="36"/>
      <c r="K131" s="36"/>
      <c r="L131" s="36"/>
      <c r="M131" s="36"/>
      <c r="N131" s="36"/>
      <c r="O131" s="36"/>
      <c r="P131" s="36"/>
      <c r="Q131" s="36"/>
      <c r="R131" s="36"/>
    </row>
    <row r="132" spans="1:18" x14ac:dyDescent="0.25">
      <c r="A132" s="50" t="s">
        <v>563</v>
      </c>
      <c r="B132" s="87">
        <v>1739.35</v>
      </c>
      <c r="C132" s="543">
        <f>B132*'Energy Content Assumptions'!C31</f>
        <v>434.83749999999998</v>
      </c>
      <c r="D132" s="36"/>
      <c r="E132" s="36"/>
      <c r="F132" s="36"/>
      <c r="G132" s="36"/>
      <c r="H132" s="36"/>
      <c r="I132" s="36"/>
      <c r="J132" s="36"/>
      <c r="K132" s="36"/>
      <c r="L132" s="36"/>
      <c r="M132" s="36"/>
      <c r="N132" s="36"/>
      <c r="O132" s="36"/>
      <c r="P132" s="36"/>
      <c r="Q132" s="36"/>
      <c r="R132" s="36"/>
    </row>
    <row r="133" spans="1:18" x14ac:dyDescent="0.25">
      <c r="A133" s="50" t="s">
        <v>564</v>
      </c>
      <c r="B133" s="87">
        <v>0</v>
      </c>
      <c r="C133" s="543">
        <f>B133*'Energy Content Assumptions'!C19</f>
        <v>0</v>
      </c>
      <c r="D133" s="36"/>
      <c r="E133" s="36"/>
      <c r="F133" s="36"/>
      <c r="G133" s="36"/>
      <c r="H133" s="36"/>
      <c r="I133" s="36"/>
      <c r="J133" s="36"/>
      <c r="K133" s="36"/>
      <c r="L133" s="36"/>
      <c r="M133" s="36"/>
      <c r="N133" s="36"/>
      <c r="O133" s="36"/>
      <c r="P133" s="36"/>
      <c r="Q133" s="36"/>
      <c r="R133" s="36"/>
    </row>
    <row r="134" spans="1:18" x14ac:dyDescent="0.25">
      <c r="A134" s="50" t="s">
        <v>565</v>
      </c>
      <c r="B134" s="87">
        <v>27498.21</v>
      </c>
      <c r="C134" s="543">
        <f>B134*'Energy Content Assumptions'!C32</f>
        <v>21998.567999999999</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Assumptions'!$M$15</f>
        <v>541234.12</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Assumptions'!$F$15</f>
        <v>369881.84</v>
      </c>
      <c r="C138" s="543">
        <f>B138*'Energy Content Assumptions'!$C$28</f>
        <v>184940.92</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Assumptions'!$H$15</f>
        <v>935.4</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Assumptions'!$I$15</f>
        <v>368946.44</v>
      </c>
      <c r="C140" s="543">
        <f>B140*'Energy Content Assumptions'!$C$28</f>
        <v>184473.22</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Assumptions'!J15,'Biomass Data Assumptions'!F15*'Biomass Data Assumptions'!I41)</f>
        <v>58367.326808000005</v>
      </c>
      <c r="C141" s="543">
        <f>B141*'Energy Content Assumptions'!C26</f>
        <v>17510.198042399999</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Assumptions'!K15,'Biomass Data Assumptions'!F15*'Biomass Data Assumptions'!I42)</f>
        <v>71760.082580000002</v>
      </c>
      <c r="C142" s="543">
        <f>B142*'Energy Content Assumptions'!C27</f>
        <v>64584.074322</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Assumptions'!L15,'Biomass Data Assumptions'!F15*'Biomass Data Assumptions'!I43)</f>
        <v>99357.276291999995</v>
      </c>
      <c r="C143" s="543">
        <f>B143*'Energy Content Assumptions'!$C$28</f>
        <v>49678.638145999998</v>
      </c>
      <c r="D143" s="547" t="s">
        <v>1064</v>
      </c>
      <c r="E143" s="36"/>
      <c r="F143" s="36"/>
      <c r="G143" s="36"/>
      <c r="H143" s="36"/>
      <c r="I143" s="36"/>
      <c r="J143" s="36"/>
      <c r="K143" s="36"/>
      <c r="L143" s="36"/>
      <c r="M143" s="36"/>
      <c r="N143" s="36"/>
      <c r="O143" s="36"/>
      <c r="P143" s="36"/>
      <c r="Q143" s="36"/>
      <c r="R143" s="36"/>
    </row>
    <row r="144" spans="1:18" x14ac:dyDescent="0.25">
      <c r="A144" s="50" t="s">
        <v>463</v>
      </c>
      <c r="B144" s="87">
        <v>80632.62</v>
      </c>
      <c r="C144" s="543">
        <f>B144*'Energy Content Assumptions'!C29</f>
        <v>64506.095999999998</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25802.438399999999</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Assumptions'!R15/2000</f>
        <v>2790.7704000000003</v>
      </c>
      <c r="C148" s="1239">
        <f>B148*'Energy Content Assumptions'!C39</f>
        <v>2372.1548400000001</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Assumptions'!S15/2000</f>
        <v>4240.0682100000004</v>
      </c>
      <c r="C149" s="1239">
        <f>B149*'Energy Content Assumptions'!C40</f>
        <v>212.00341050000003</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S199"/>
  <sheetViews>
    <sheetView topLeftCell="A97" zoomScale="70" zoomScaleNormal="75"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442</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570.46079999999995</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480.80760000000004</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23555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3319.38</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27925.648400000002</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273.7</v>
      </c>
      <c r="D15" s="294">
        <f>E15*'Conversion Tables'!C14</f>
        <v>3444.6787199999999</v>
      </c>
      <c r="E15" s="294">
        <f>C15*'Prac. Rec. Assumptions'!B11</f>
        <v>218.96</v>
      </c>
      <c r="F15" s="294">
        <f>$E15</f>
        <v>218.96</v>
      </c>
      <c r="G15" s="294">
        <f>$E15</f>
        <v>218.96</v>
      </c>
      <c r="H15" s="294">
        <f>$E15</f>
        <v>218.96</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1524.2625</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14301.25</v>
      </c>
      <c r="D17" s="294">
        <f>E17*'Conversion Tables'!C16</f>
        <v>191239.17525</v>
      </c>
      <c r="E17" s="294">
        <f>C17*'Prac. Rec. Assumptions'!B13</f>
        <v>12156.0625</v>
      </c>
      <c r="F17" s="294">
        <f t="shared" si="2"/>
        <v>12156.0625</v>
      </c>
      <c r="G17" s="294">
        <f t="shared" si="2"/>
        <v>12156.0625</v>
      </c>
      <c r="H17" s="294">
        <f t="shared" si="2"/>
        <v>12156.0625</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7077.4199999999983</v>
      </c>
      <c r="D18" s="294">
        <f>E18*'Conversion Tables'!C17</f>
        <v>83506.478579999981</v>
      </c>
      <c r="E18" s="294">
        <f>C18*'Prac. Rec. Assumptions'!B14</f>
        <v>5308.0649999999987</v>
      </c>
      <c r="F18" s="294">
        <f t="shared" si="2"/>
        <v>5308.0649999999987</v>
      </c>
      <c r="G18" s="294">
        <f t="shared" si="2"/>
        <v>5308.0649999999987</v>
      </c>
      <c r="H18" s="294">
        <f t="shared" si="2"/>
        <v>5308.0649999999987</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14027.04</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38009.279999999999</v>
      </c>
      <c r="D20" s="294">
        <f>E20*'Conversion Tables'!C19</f>
        <v>296472.38399999996</v>
      </c>
      <c r="E20" s="294">
        <f>C20*'Prac. Rec. Assumptions'!B16</f>
        <v>19004.64</v>
      </c>
      <c r="F20" s="294">
        <f t="shared" si="2"/>
        <v>19004.64</v>
      </c>
      <c r="G20" s="294">
        <f t="shared" si="2"/>
        <v>19004.64</v>
      </c>
      <c r="H20" s="294">
        <f t="shared" si="2"/>
        <v>19004.64</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3058.2999999999997</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Assumptions'!P16*1000*'Energy Content Assumptions'!C18</f>
        <v>51261</v>
      </c>
      <c r="D22" s="294">
        <f>E22*'Conversion Tables'!C21</f>
        <v>399835.8</v>
      </c>
      <c r="E22" s="294">
        <f>C22*'Prac. Rec. Assumptions'!B18</f>
        <v>25630.5</v>
      </c>
      <c r="F22" s="294">
        <f t="shared" si="2"/>
        <v>25630.5</v>
      </c>
      <c r="G22" s="294">
        <f t="shared" si="2"/>
        <v>25630.5</v>
      </c>
      <c r="H22" s="294">
        <f t="shared" si="2"/>
        <v>25630.5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0</v>
      </c>
      <c r="D23" s="294">
        <f>E23*'Conversion Tables'!C22</f>
        <v>0</v>
      </c>
      <c r="E23" s="294">
        <f>C23*'Prac. Rec. Assumptions'!B19</f>
        <v>0</v>
      </c>
      <c r="F23" s="297">
        <f t="shared" si="2"/>
        <v>0</v>
      </c>
      <c r="G23" s="297">
        <f t="shared" si="2"/>
        <v>0</v>
      </c>
      <c r="H23" s="297">
        <f t="shared" si="2"/>
        <v>0</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3012.8449999999998</v>
      </c>
      <c r="D25" s="294">
        <f>E25*'Conversion Tables'!C24</f>
        <v>53327.356499999994</v>
      </c>
      <c r="E25" s="294">
        <f>C25*'Prac. Rec. Assumptions'!B21</f>
        <v>3012.8449999999998</v>
      </c>
      <c r="F25" s="294">
        <f>($C25*(1+'Biomass Data Assumptions'!G$101))*'Prac. Rec. Assumptions'!$B21</f>
        <v>3098.7273305084746</v>
      </c>
      <c r="G25" s="294">
        <f>($C25*(1+'Biomass Data Assumptions'!H$101))*'Prac. Rec. Assumptions'!$B21</f>
        <v>3235.6748305084743</v>
      </c>
      <c r="H25" s="294">
        <f>($C25*(1+'Biomass Data Assumptions'!I$101))*'Prac. Rec. Assumptions'!$B21</f>
        <v>3356.3743220338984</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0</v>
      </c>
      <c r="D26" s="294">
        <f>E26*'Conversion Tables'!C25</f>
        <v>0</v>
      </c>
      <c r="E26" s="294">
        <f>C26*'Prac. Rec. Assumptions'!B22</f>
        <v>0</v>
      </c>
      <c r="F26" s="294">
        <f>($C26*(1+'Biomass Data Assumptions'!G$101))*'Prac. Rec. Assumptions'!$B22</f>
        <v>0</v>
      </c>
      <c r="G26" s="294">
        <f>($C26*(1+'Biomass Data Assumptions'!H$101))*'Prac. Rec. Assumptions'!$B22</f>
        <v>0</v>
      </c>
      <c r="H26" s="294">
        <f>($C26*(1+'Biomass Data Assumptions'!I$101))*'Prac. Rec. Assumptions'!$B22</f>
        <v>0</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1891.07</v>
      </c>
      <c r="D27" s="294">
        <f>E27*'Conversion Tables'!C26</f>
        <v>29500.691999999999</v>
      </c>
      <c r="E27" s="294">
        <f>C27*'Prac. Rec. Assumptions'!B23</f>
        <v>1891.07</v>
      </c>
      <c r="F27" s="294">
        <f>($C27*(1+'Biomass Data Assumptions'!G$101))*'Prac. Rec. Assumptions'!$B23</f>
        <v>1944.9756933744222</v>
      </c>
      <c r="G27" s="294">
        <f>($C27*(1+'Biomass Data Assumptions'!H$101))*'Prac. Rec. Assumptions'!$B23</f>
        <v>2030.9334206471494</v>
      </c>
      <c r="H27" s="294">
        <f>($C27*(1+'Biomass Data Assumptions'!I$101))*'Prac. Rec. Assumptions'!$B23</f>
        <v>2106.6927734976889</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501.995</v>
      </c>
      <c r="D28" s="294">
        <f>E28*'Conversion Tables'!C27</f>
        <v>8885.3114999999998</v>
      </c>
      <c r="E28" s="294">
        <f>C28*'Prac. Rec. Assumptions'!B24</f>
        <v>501.995</v>
      </c>
      <c r="F28" s="294">
        <f>($C28*(1+'Biomass Data Assumptions'!G$101))*'Prac. Rec. Assumptions'!$B24</f>
        <v>516.30456471494608</v>
      </c>
      <c r="G28" s="294">
        <f>($C28*(1+'Biomass Data Assumptions'!H$101))*'Prac. Rec. Assumptions'!$B24</f>
        <v>539.12251926040062</v>
      </c>
      <c r="H28" s="294">
        <f>($C28*(1+'Biomass Data Assumptions'!I$101))*'Prac. Rec. Assumptions'!$B24</f>
        <v>559.23325885978431</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134938.16250000001</v>
      </c>
      <c r="D29" s="295">
        <f>SUM(D13:D28)</f>
        <v>1066211.8765500002</v>
      </c>
      <c r="E29" s="295">
        <f t="shared" si="3"/>
        <v>67724.137499999997</v>
      </c>
      <c r="F29" s="295">
        <f>SUM(F13:F28)</f>
        <v>67878.235088597838</v>
      </c>
      <c r="G29" s="295">
        <f>SUM(G13:G28)</f>
        <v>68123.958270416028</v>
      </c>
      <c r="H29" s="295">
        <f>SUM(H13:H28)</f>
        <v>68340.527854391359</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2328.7089042000002</v>
      </c>
      <c r="D32" s="294">
        <f>E32*'Conversion Tables'!C29</f>
        <v>22355.605480320006</v>
      </c>
      <c r="E32" s="294">
        <f>C32*'Prac. Rec. Assumptions'!B26</f>
        <v>1397.2253425200004</v>
      </c>
      <c r="F32" s="294">
        <f>($C32*(1+'Biomass Data Assumptions'!G$101)*(1+'Biomass Data Assumptions'!C$82))*'Prac. Rec. Assumptions'!$B26</f>
        <v>1436.0780698157291</v>
      </c>
      <c r="G32" s="294">
        <f>($C32*(1+'Biomass Data Assumptions'!H$101)*(1+'Biomass Data Assumptions'!D$82))*'Prac. Rec. Assumptions'!$B26</f>
        <v>1498.527030051019</v>
      </c>
      <c r="H32" s="294">
        <f>($C32*(1+'Biomass Data Assumptions'!I$101)*(1+'Biomass Data Assumptions'!E$82))*'Prac. Rec. Assumptions'!$B26</f>
        <v>1553.3707496935665</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8589.1380885000017</v>
      </c>
      <c r="D33" s="294">
        <f>E33*'Conversion Tables'!C30</f>
        <v>99785.170656957634</v>
      </c>
      <c r="E33" s="294">
        <f>C33*'Prac. Rec. Assumptions'!B27</f>
        <v>6871.3104708000019</v>
      </c>
      <c r="F33" s="294">
        <f>($C33*(1+'Biomass Data Assumptions'!G$101)*(1+'Biomass Data Assumptions'!C$82))*'Prac. Rec. Assumptions'!$B27</f>
        <v>7062.3814052884773</v>
      </c>
      <c r="G33" s="294">
        <f>($C33*(1+'Biomass Data Assumptions'!H$101)*(1+'Biomass Data Assumptions'!D$82))*'Prac. Rec. Assumptions'!$B27</f>
        <v>7369.4944967110787</v>
      </c>
      <c r="H33" s="294">
        <f>($C33*(1+'Biomass Data Assumptions'!I$101)*(1+'Biomass Data Assumptions'!E$82))*'Prac. Rec. Assumptions'!$B27</f>
        <v>7639.206341729423</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6606.8405805000002</v>
      </c>
      <c r="D34" s="294">
        <f>E34*'Conversion Tables'!C31</f>
        <v>69080.068015215133</v>
      </c>
      <c r="E34" s="294">
        <f>C34*'Prac. Rec. Assumptions'!B28</f>
        <v>4756.9252179600007</v>
      </c>
      <c r="F34" s="294">
        <f>($C34*(1+'Biomass Data Assumptions'!G$101)*(1+'Biomass Data Assumptions'!C$82))*'Prac. Rec. Assumptions'!$B28</f>
        <v>4889.2013173372416</v>
      </c>
      <c r="G34" s="294">
        <f>($C34*(1+'Biomass Data Assumptions'!H$101)*(1+'Biomass Data Assumptions'!D$82))*'Prac. Rec. Assumptions'!$B28</f>
        <v>5101.8119999082091</v>
      </c>
      <c r="H34" s="294">
        <f>($C34*(1+'Biomass Data Assumptions'!I$101)*(1+'Biomass Data Assumptions'!E$82))*'Prac. Rec. Assumptions'!$B28</f>
        <v>5288.5302514851755</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8298.1792000000023</v>
      </c>
      <c r="D35" s="294">
        <f>E35*'Conversion Tables'!C32</f>
        <v>94001.773977600038</v>
      </c>
      <c r="E35" s="294">
        <f>C35*'Prac. Rec. Assumptions'!B29</f>
        <v>5310.8346880000026</v>
      </c>
      <c r="F35" s="294">
        <f>($C35*(1+'Biomass Data Assumptions'!G$101)*(1+'Biomass Data Assumptions'!C$83))*'Prac. Rec. Assumptions'!$B29</f>
        <v>5736.486261308497</v>
      </c>
      <c r="G35" s="294">
        <f>($C35*(1+'Biomass Data Assumptions'!H$101)*(1+'Biomass Data Assumptions'!D$83))*'Prac. Rec. Assumptions'!$B29</f>
        <v>6290.7737690182912</v>
      </c>
      <c r="H35" s="294">
        <f>($C35*(1+'Biomass Data Assumptions'!I$101)*(1+'Biomass Data Assumptions'!E$83))*'Prac. Rec. Assumptions'!$B29</f>
        <v>6853.0860933561835</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28.497499999999999</v>
      </c>
      <c r="D37" s="294">
        <f>E37*'Conversion Tables'!C34</f>
        <v>455.96</v>
      </c>
      <c r="E37" s="294">
        <f>C37*'Prac. Rec. Assumptions'!B31</f>
        <v>28.497499999999999</v>
      </c>
      <c r="F37" s="294">
        <f>($C37*(1+'Biomass Data Assumptions'!G$101)*(1+'Biomass Data Assumptions'!C$84))*'Prac. Rec. Assumptions'!$B31</f>
        <v>32.049603758939838</v>
      </c>
      <c r="G37" s="294">
        <f>($C37*(1+'Biomass Data Assumptions'!H$101)*(1+'Biomass Data Assumptions'!D$84))*'Prac. Rec. Assumptions'!$B31</f>
        <v>36.594304843705217</v>
      </c>
      <c r="H37" s="294">
        <f>($C37*(1+'Biomass Data Assumptions'!I$101)*(1+'Biomass Data Assumptions'!E$84))*'Prac. Rec. Assumptions'!$B31</f>
        <v>41.507669471744336</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1364.1200000000001</v>
      </c>
      <c r="D38" s="294">
        <f>E38*'Conversion Tables'!C35</f>
        <v>12072.462000000001</v>
      </c>
      <c r="E38" s="294">
        <f>C38*'Prac. Rec. Assumptions'!B32</f>
        <v>682.06000000000006</v>
      </c>
      <c r="F38" s="294">
        <f>($C38*(1+'Biomass Data Assumptions'!G$101)*(1+'Biomass Data Assumptions'!C$84))*'Prac. Rec. Assumptions'!$B32</f>
        <v>767.07615544600435</v>
      </c>
      <c r="G38" s="294">
        <f>($C38*(1+'Biomass Data Assumptions'!H$101)*(1+'Biomass Data Assumptions'!D$84))*'Prac. Rec. Assumptions'!$B32</f>
        <v>875.84916437222853</v>
      </c>
      <c r="H38" s="294">
        <f>($C38*(1+'Biomass Data Assumptions'!I$101)*(1+'Biomass Data Assumptions'!E$84))*'Prac. Rec. Assumptions'!$B32</f>
        <v>993.44577734530912</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7379.9279999999999</v>
      </c>
      <c r="D39" s="299">
        <f>E39*'Conversion Tables'!C36</f>
        <v>0</v>
      </c>
      <c r="E39" s="299">
        <f>C39*'Prac. Rec. Assumptions'!B33</f>
        <v>0</v>
      </c>
      <c r="F39" s="294">
        <f>($C39*(1+'Biomass Data Assumptions'!G$101)*(1+'Biomass Data Assumptions'!C$84))*'Prac. Rec. Assumptions'!$B33</f>
        <v>0</v>
      </c>
      <c r="G39" s="294">
        <f>($C39*(1+'Biomass Data Assumptions'!H$101)*(1+'Biomass Data Assumptions'!D$84))*'Prac. Rec. Assumptions'!$B33</f>
        <v>0</v>
      </c>
      <c r="H39" s="294">
        <f>($C39*(1+'Biomass Data Assumptions'!I$101)*(1+'Biomass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2013.8310000000001</v>
      </c>
      <c r="D40" s="299">
        <f>E40*'Conversion Tables'!C37</f>
        <v>0</v>
      </c>
      <c r="E40" s="299">
        <f>C40*'Prac. Rec. Assumptions'!B34</f>
        <v>0</v>
      </c>
      <c r="F40" s="294">
        <f>($C40*(1+'Biomass Data Assumptions'!G$101)*(1+'Biomass Data Assumptions'!C$84))*'Prac. Rec. Assumptions'!$B34</f>
        <v>0</v>
      </c>
      <c r="G40" s="294">
        <f>($C40*(1+'Biomass Data Assumptions'!H$101)*(1+'Biomass Data Assumptions'!D$84))*'Prac. Rec. Assumptions'!$B34</f>
        <v>0</v>
      </c>
      <c r="H40" s="294">
        <f>($C40*(1+'Biomass Data Assumptions'!I$101)*(1+'Biomass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4166.6040000000003</v>
      </c>
      <c r="D41" s="299">
        <f>E41*'Conversion Tables'!C38</f>
        <v>0</v>
      </c>
      <c r="E41" s="299">
        <f>C41*'Prac. Rec. Assumptions'!B35</f>
        <v>0</v>
      </c>
      <c r="F41" s="294">
        <f>($C41*(1+'Biomass Data Assumptions'!G$101)*(1+'Biomass Data Assumptions'!C$84))*'Prac. Rec. Assumptions'!$B35</f>
        <v>0</v>
      </c>
      <c r="G41" s="294">
        <f>($C41*(1+'Biomass Data Assumptions'!H$101)*(1+'Biomass Data Assumptions'!D$84))*'Prac. Rec. Assumptions'!$B35</f>
        <v>0</v>
      </c>
      <c r="H41" s="294">
        <f>($C41*(1+'Biomass Data Assumptions'!I$101)*(1+'Biomass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1215.5219999999999</v>
      </c>
      <c r="D42" s="299">
        <f>E42*'Conversion Tables'!C39</f>
        <v>17651.810483999998</v>
      </c>
      <c r="E42" s="299">
        <f>C42*'Prac. Rec. Assumptions'!B36</f>
        <v>1215.5219999999999</v>
      </c>
      <c r="F42" s="294">
        <f>($C42*(1+'Biomass Data Assumptions'!G$101)*(1+'Biomass Data Assumptions'!C$84))*'Prac. Rec. Assumptions'!$B36</f>
        <v>1367.0321417764392</v>
      </c>
      <c r="G42" s="294">
        <f>($C42*(1+'Biomass Data Assumptions'!H$101)*(1+'Biomass Data Assumptions'!D$84))*'Prac. Rec. Assumptions'!$B36</f>
        <v>1560.8801688649971</v>
      </c>
      <c r="H42" s="294">
        <f>($C42*(1+'Biomass Data Assumptions'!I$101)*(1+'Biomass Data Assumptions'!E$84))*'Prac. Rec. Assumptions'!$B36</f>
        <v>1770.4530366394813</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41991.369273200005</v>
      </c>
      <c r="D43" s="295">
        <f t="shared" si="4"/>
        <v>315402.85061409284</v>
      </c>
      <c r="E43" s="295">
        <f t="shared" si="4"/>
        <v>20262.375219280009</v>
      </c>
      <c r="F43" s="295">
        <f t="shared" si="4"/>
        <v>21290.304954731328</v>
      </c>
      <c r="G43" s="295">
        <f t="shared" si="4"/>
        <v>22733.93093376953</v>
      </c>
      <c r="H43" s="295">
        <f t="shared" si="4"/>
        <v>24139.599919720884</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4189.4399999999996</v>
      </c>
      <c r="D46" s="294">
        <f>E46*'Conversion Tables'!C41</f>
        <v>0</v>
      </c>
      <c r="E46" s="294">
        <f>C46*'Prac. Rec. Assumptions'!B38</f>
        <v>4189.4399999999996</v>
      </c>
      <c r="F46" s="294">
        <f>$E46</f>
        <v>4189.4399999999996</v>
      </c>
      <c r="G46" s="294">
        <f>$E46</f>
        <v>4189.4399999999996</v>
      </c>
      <c r="H46" s="294">
        <f>$E46</f>
        <v>4189.4399999999996</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480.02526000000006</v>
      </c>
      <c r="D47" s="294"/>
      <c r="E47" s="294">
        <f>C47*'Prac. Rec. Assumptions'!B39</f>
        <v>240.01263000000003</v>
      </c>
      <c r="F47" s="294">
        <f>($C47*(1+'Biomass Data Assumptions'!G$101))*'Prac. Rec. Assumptions'!$B39</f>
        <v>246.85428432203392</v>
      </c>
      <c r="G47" s="294">
        <f>($C47*(1+'Biomass Data Assumptions'!H$101))*'Prac. Rec. Assumptions'!$B39</f>
        <v>257.76394932203391</v>
      </c>
      <c r="H47" s="294">
        <f>($C47*(1+'Biomass Data Assumptions'!I$101))*'Prac. Rec. Assumptions'!$B39</f>
        <v>267.37924728813562</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42.900653250000005</v>
      </c>
      <c r="D48" s="294"/>
      <c r="E48" s="294">
        <f>C48*'Prac. Rec. Assumptions'!B40</f>
        <v>42.900653250000005</v>
      </c>
      <c r="F48" s="294">
        <f>($C48*(1+'Biomass Data Assumptions'!G$101))*'Prac. Rec. Assumptions'!$B40</f>
        <v>44.12355322708013</v>
      </c>
      <c r="G48" s="294">
        <f>($C48*(1+'Biomass Data Assumptions'!H$101))*'Prac. Rec. Assumptions'!$B40</f>
        <v>46.073582920261948</v>
      </c>
      <c r="H48" s="294">
        <f>($C48*(1+'Biomass Data Assumptions'!I$101))*'Prac. Rec. Assumptions'!$B40</f>
        <v>47.792253158320499</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4712.3659132499997</v>
      </c>
      <c r="D49" s="295">
        <f>SUM(D45:D48)</f>
        <v>0</v>
      </c>
      <c r="E49" s="295">
        <f t="shared" si="6"/>
        <v>4472.3532832499995</v>
      </c>
      <c r="F49" s="295">
        <f>SUM(F45:F48)</f>
        <v>4480.4178375491138</v>
      </c>
      <c r="G49" s="295">
        <f>SUM(G45:G48)</f>
        <v>4493.2775322422958</v>
      </c>
      <c r="H49" s="295">
        <f>SUM(H45:H48)</f>
        <v>4504.6115004464564</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4248.6000000000004</v>
      </c>
      <c r="D52" s="299">
        <f>E52*'Conversion Tables'!C45</f>
        <v>12545.266080000001</v>
      </c>
      <c r="E52" s="299">
        <f>C52*'Prac. Rec. Assumptions'!B42</f>
        <v>849.72000000000014</v>
      </c>
      <c r="F52" s="294">
        <f t="shared" ref="F52:H59" si="7">$E52</f>
        <v>849.72000000000014</v>
      </c>
      <c r="G52" s="294">
        <f t="shared" si="7"/>
        <v>849.72000000000014</v>
      </c>
      <c r="H52" s="294">
        <f t="shared" si="7"/>
        <v>849.72000000000014</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3461.658175</v>
      </c>
      <c r="D53" s="299">
        <f>E53*'Conversion Tables'!C46</f>
        <v>30664.752777419999</v>
      </c>
      <c r="E53" s="299">
        <f>C53*'Prac. Rec. Assumptions'!B43</f>
        <v>2076.994905</v>
      </c>
      <c r="F53" s="294">
        <f t="shared" si="7"/>
        <v>2076.994905</v>
      </c>
      <c r="G53" s="294">
        <f t="shared" si="7"/>
        <v>2076.994905</v>
      </c>
      <c r="H53" s="294">
        <f t="shared" si="7"/>
        <v>2076.994905</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15609.255112500001</v>
      </c>
      <c r="D54" s="299">
        <f>E54*'Conversion Tables'!C47</f>
        <v>138273.02548857001</v>
      </c>
      <c r="E54" s="299">
        <f>C54*'Prac. Rec. Assumptions'!B44</f>
        <v>9365.5530675000009</v>
      </c>
      <c r="F54" s="294">
        <f t="shared" si="7"/>
        <v>9365.5530675000009</v>
      </c>
      <c r="G54" s="294">
        <f t="shared" si="7"/>
        <v>9365.5530675000009</v>
      </c>
      <c r="H54" s="294">
        <f t="shared" si="7"/>
        <v>9365.5530675000009</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716.73225000000002</v>
      </c>
      <c r="D55" s="299">
        <f>E55*'Conversion Tables'!C48</f>
        <v>2116.3669878000001</v>
      </c>
      <c r="E55" s="299">
        <f>C55*'Prac. Rec. Assumptions'!B45</f>
        <v>143.34645</v>
      </c>
      <c r="F55" s="294">
        <f t="shared" si="7"/>
        <v>143.34645</v>
      </c>
      <c r="G55" s="294">
        <f t="shared" si="7"/>
        <v>143.34645</v>
      </c>
      <c r="H55" s="294">
        <f t="shared" si="7"/>
        <v>143.34645</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386.13350000000003</v>
      </c>
      <c r="D56" s="299">
        <f>E56*'Conversion Tables'!C49</f>
        <v>1140.1749988000001</v>
      </c>
      <c r="E56" s="299">
        <f>C56*'Prac. Rec. Assumptions'!B46</f>
        <v>77.226700000000008</v>
      </c>
      <c r="F56" s="294">
        <f t="shared" si="7"/>
        <v>77.226700000000008</v>
      </c>
      <c r="G56" s="294">
        <f t="shared" si="7"/>
        <v>77.226700000000008</v>
      </c>
      <c r="H56" s="294">
        <f t="shared" si="7"/>
        <v>77.226700000000008</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121.8005</v>
      </c>
      <c r="D57" s="299">
        <f>E57*'Conversion Tables'!C50</f>
        <v>899.13129099999992</v>
      </c>
      <c r="E57" s="299">
        <f>C57*'Prac. Rec. Assumptions'!B47</f>
        <v>60.90025</v>
      </c>
      <c r="F57" s="294">
        <f t="shared" si="7"/>
        <v>60.90025</v>
      </c>
      <c r="G57" s="294">
        <f t="shared" si="7"/>
        <v>60.90025</v>
      </c>
      <c r="H57" s="294">
        <f t="shared" si="7"/>
        <v>60.90025</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151.24687499999999</v>
      </c>
      <c r="D58" s="299">
        <f>E58*'Conversion Tables'!C51</f>
        <v>1814.9624999999999</v>
      </c>
      <c r="E58" s="299">
        <f>C58*'Prac. Rec. Assumptions'!B48</f>
        <v>151.24687499999999</v>
      </c>
      <c r="F58" s="294">
        <f t="shared" si="7"/>
        <v>151.24687499999999</v>
      </c>
      <c r="G58" s="294">
        <f t="shared" si="7"/>
        <v>151.24687499999999</v>
      </c>
      <c r="H58" s="294">
        <f t="shared" si="7"/>
        <v>151.24687499999999</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37.163843749999998</v>
      </c>
      <c r="D59" s="299">
        <f>E59*'Conversion Tables'!C52</f>
        <v>548.68698912499997</v>
      </c>
      <c r="E59" s="299">
        <f>C59*'Prac. Rec. Assumptions'!B49</f>
        <v>37.163843749999998</v>
      </c>
      <c r="F59" s="294">
        <f t="shared" si="7"/>
        <v>37.163843749999998</v>
      </c>
      <c r="G59" s="294">
        <f t="shared" si="7"/>
        <v>37.163843749999998</v>
      </c>
      <c r="H59" s="294">
        <f t="shared" si="7"/>
        <v>37.163843749999998</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Assumptions'!AE16</f>
        <v>1808.0088619999999</v>
      </c>
      <c r="D60" s="299">
        <f>E60*'Conversion Tables'!C53</f>
        <v>21696.106344</v>
      </c>
      <c r="E60" s="299">
        <f>C60*'Prac. Rec. Assumptions'!B50</f>
        <v>1808.0088619999999</v>
      </c>
      <c r="F60" s="294">
        <f>($C60*(1+'Biomass Data Assumptions'!G$101*(4/5)))*'Prac. Rec. Assumptions'!$B50</f>
        <v>1849.2392643999999</v>
      </c>
      <c r="G60" s="294">
        <f>($C60*(1+'Biomass Data Assumptions'!H$101*(9/10)))*'Prac. Rec. Assumptions'!$B50</f>
        <v>1928.3570636000002</v>
      </c>
      <c r="H60" s="294">
        <f>($C60*(1+'Biomass Data Assumptions'!I$101*(14/15)))*'Prac. Rec. Assumptions'!$B50</f>
        <v>2000.4174065333332</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26540.599118250004</v>
      </c>
      <c r="D61" s="295">
        <f>SUM(D52:D60)</f>
        <v>209698.473456715</v>
      </c>
      <c r="E61" s="295">
        <f t="shared" ref="E61:P61" si="8">SUM(E52:E60)</f>
        <v>14570.160953250004</v>
      </c>
      <c r="F61" s="295">
        <f>SUM(F52:F60)</f>
        <v>14611.391355650003</v>
      </c>
      <c r="G61" s="295">
        <f>SUM(G52:G60)</f>
        <v>14690.509154850004</v>
      </c>
      <c r="H61" s="295">
        <f>SUM(H52:H60)</f>
        <v>14762.569497783337</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Assumptions'!AB16</f>
        <v>10.736566250000001</v>
      </c>
      <c r="D63" s="300">
        <f>E63*'Conversion Tables'!C55</f>
        <v>6645.9345087500005</v>
      </c>
      <c r="E63" s="299">
        <f>C63*'Prac. Rec. Assumptions'!B51</f>
        <v>10.736566250000001</v>
      </c>
      <c r="F63" s="294">
        <f>($C63*(1+'Biomass Data Assumptions'!G$101*(4/5)))*'Prac. Rec. Assumptions'!$B51</f>
        <v>10.981406281587057</v>
      </c>
      <c r="G63" s="294">
        <f>($C63*(1+'Biomass Data Assumptions'!H$101*(9/10)))*'Prac. Rec. Assumptions'!$B51</f>
        <v>11.451234450308169</v>
      </c>
      <c r="H63" s="294">
        <f>($C63*(1+'Biomass Data Assumptions'!I$101*(14/15)))*'Prac. Rec. Assumptions'!$B51</f>
        <v>11.879153064072932</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Assumptions'!X16</f>
        <v>0</v>
      </c>
      <c r="D64" s="300">
        <f>E64*'Conversion Tables'!C56</f>
        <v>0</v>
      </c>
      <c r="E64" s="299">
        <f>C64*'Prac. Rec. Assumptions'!B52</f>
        <v>0</v>
      </c>
      <c r="F64" s="545">
        <f>($C64*(1+'Biomass Data Assumptions'!G$101*(3/5))*(1+('Biomass Data Assumptions'!C$82-((1+'Biomass Data Assumptions'!$B$82)^2 - 1))))*'Prac. Rec. Assumptions'!$B52</f>
        <v>0</v>
      </c>
      <c r="G64" s="545">
        <f>($C64*(1+'Biomass Data Assumptions'!H$101*(4/5))*(1+('Biomass Data Assumptions'!D$82-((1+'Biomass Data Assumptions'!$B$82)^2 - 1))))*'Prac. Rec. Assumptions'!$B52</f>
        <v>0</v>
      </c>
      <c r="H64" s="545">
        <f>($C64*(1+'Biomass Data Assumptions'!I$101*(13/15))*(1+('Biomass Data Assumptions'!E$82-((1+'Biomass Data Assumptions'!$B$82)^2 - 1))))*'Prac. Rec. Assumptions'!$B52</f>
        <v>0</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10.736566250000001</v>
      </c>
      <c r="D65" s="295">
        <f>SUM(D63:D64)</f>
        <v>6645.9345087500005</v>
      </c>
      <c r="E65" s="295">
        <f t="shared" ref="E65:P65" si="9">SUM(E63:E64)</f>
        <v>10.736566250000001</v>
      </c>
      <c r="F65" s="295">
        <f>SUM(F63:F64)</f>
        <v>10.981406281587057</v>
      </c>
      <c r="G65" s="295">
        <f>SUM(G63:G64)</f>
        <v>11.451234450308169</v>
      </c>
      <c r="H65" s="295">
        <f>SUM(H63:H64)</f>
        <v>11.879153064072932</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26904.709018646779</v>
      </c>
      <c r="D67" s="295">
        <f t="shared" ref="D67" si="10">D61+D65</f>
        <v>216344.40796546501</v>
      </c>
      <c r="E67" s="295">
        <f>E61+(E63*1000000/29487.1582406855)+(E64*1000000/25364.5039539246)</f>
        <v>14934.270853646782</v>
      </c>
      <c r="F67" s="295">
        <f t="shared" ref="F67:H67" si="11">F61+(F63*1000000/29487.1582406855)+(F64*1000000/25364.5039539246)</f>
        <v>14983.804532665998</v>
      </c>
      <c r="G67" s="295">
        <f t="shared" si="11"/>
        <v>15078.855646459633</v>
      </c>
      <c r="H67" s="295">
        <f t="shared" si="11"/>
        <v>15165.42802240313</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236472.25510509679</v>
      </c>
      <c r="D68" s="132"/>
      <c r="E68" s="132">
        <f>E11+E29+E43+E49+E67</f>
        <v>107393.13685617679</v>
      </c>
      <c r="F68" s="132">
        <f>F11+F29+F43+F49+F67</f>
        <v>108632.76241354427</v>
      </c>
      <c r="G68" s="132">
        <f>G11+G29+G43+G49+G67</f>
        <v>110430.02238288749</v>
      </c>
      <c r="H68" s="132">
        <f>H11+H29+H43+H49+H67</f>
        <v>112150.16729696182</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312</v>
      </c>
      <c r="C74" s="40">
        <f>'Biomass Data Assumptions'!B38*B74</f>
        <v>20373.599999999999</v>
      </c>
      <c r="D74" s="40">
        <f>(C74*'Biomass Data Assumptions'!C38)/2000</f>
        <v>570.46079999999995</v>
      </c>
      <c r="E74" s="41"/>
      <c r="F74" s="41"/>
      <c r="G74" s="41"/>
      <c r="H74" s="36"/>
      <c r="I74" s="36"/>
      <c r="J74" s="36"/>
      <c r="K74" s="36"/>
      <c r="L74" s="36"/>
      <c r="M74" s="36"/>
      <c r="N74" s="36"/>
      <c r="O74" s="36"/>
      <c r="P74" s="36"/>
      <c r="Q74" s="36"/>
      <c r="R74" s="36"/>
    </row>
    <row r="75" spans="1:19" x14ac:dyDescent="0.25">
      <c r="A75" s="39" t="s">
        <v>520</v>
      </c>
      <c r="B75" s="21">
        <v>629</v>
      </c>
      <c r="C75" s="40">
        <f>'Biomass Data Assumptions'!B39*B75</f>
        <v>17171.7</v>
      </c>
      <c r="D75" s="40">
        <f>(C75*'Biomass Data Assumptions'!C39)/2000</f>
        <v>480.80760000000004</v>
      </c>
      <c r="E75" s="41"/>
      <c r="F75" s="41"/>
      <c r="G75" s="41"/>
      <c r="H75" s="36"/>
      <c r="I75" s="36"/>
      <c r="J75" s="36"/>
      <c r="K75" s="36"/>
      <c r="L75" s="36"/>
      <c r="M75" s="36"/>
      <c r="N75" s="36"/>
      <c r="O75" s="36"/>
      <c r="P75" s="36"/>
      <c r="Q75" s="36"/>
      <c r="R75" s="36"/>
    </row>
    <row r="76" spans="1:19" x14ac:dyDescent="0.25">
      <c r="A76" s="39" t="s">
        <v>521</v>
      </c>
      <c r="B76" s="21">
        <v>6730</v>
      </c>
      <c r="C76" s="40">
        <f>'Biomass Data Assumptions'!B40*B76</f>
        <v>841250</v>
      </c>
      <c r="D76" s="40">
        <f>(C76*'Biomass Data Assumptions'!C40)/2000</f>
        <v>23555</v>
      </c>
      <c r="E76" s="41"/>
      <c r="F76" s="41"/>
      <c r="G76" s="41"/>
      <c r="H76" s="36"/>
      <c r="I76" s="36"/>
      <c r="J76" s="36"/>
      <c r="K76" s="36"/>
      <c r="L76" s="36"/>
      <c r="M76" s="36"/>
      <c r="N76" s="36"/>
      <c r="O76" s="36"/>
      <c r="P76" s="36"/>
      <c r="Q76" s="36"/>
      <c r="R76" s="36"/>
    </row>
    <row r="77" spans="1:19" x14ac:dyDescent="0.25">
      <c r="A77" s="39" t="s">
        <v>525</v>
      </c>
      <c r="B77" s="21">
        <v>4364</v>
      </c>
      <c r="C77" s="40">
        <f>'Biomass Data Assumptions'!B41*B77</f>
        <v>139648</v>
      </c>
      <c r="D77" s="40">
        <f>(C77*'Biomass Data Assumptions'!C41)/2000</f>
        <v>4189.4399999999996</v>
      </c>
      <c r="E77" s="41"/>
      <c r="F77" s="41"/>
      <c r="G77" s="41"/>
      <c r="H77" s="36"/>
      <c r="I77" s="36"/>
      <c r="J77" s="36"/>
      <c r="K77" s="36"/>
      <c r="L77" s="36"/>
      <c r="M77" s="36"/>
      <c r="N77" s="36"/>
      <c r="O77" s="36"/>
      <c r="P77" s="36"/>
      <c r="Q77" s="36"/>
      <c r="R77" s="36"/>
    </row>
    <row r="78" spans="1:19" x14ac:dyDescent="0.25">
      <c r="A78" s="39" t="s">
        <v>522</v>
      </c>
      <c r="B78" s="21">
        <v>2049</v>
      </c>
      <c r="C78" s="40">
        <f>'Biomass Data Assumptions'!B42*B78</f>
        <v>110646</v>
      </c>
      <c r="D78" s="40">
        <f>(C78*'Biomass Data Assumptions'!C42)/2000</f>
        <v>3319.38</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526</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322</v>
      </c>
      <c r="C81" s="40">
        <f>'Biomass Data Assumptions'!B49*B81</f>
        <v>322</v>
      </c>
      <c r="D81" s="40">
        <f>C81*'Energy Content Assumptions'!C11</f>
        <v>273.7</v>
      </c>
      <c r="E81" s="41"/>
      <c r="F81" s="41"/>
      <c r="G81" s="41"/>
      <c r="H81" s="36"/>
      <c r="I81" s="36"/>
      <c r="J81" s="36"/>
      <c r="K81" s="36"/>
      <c r="L81" s="36"/>
      <c r="M81" s="36"/>
      <c r="N81" s="36"/>
      <c r="O81" s="36"/>
      <c r="P81" s="36"/>
      <c r="Q81" s="36"/>
      <c r="R81" s="36"/>
    </row>
    <row r="82" spans="1:18" x14ac:dyDescent="0.25">
      <c r="A82" s="39" t="s">
        <v>520</v>
      </c>
      <c r="B82" s="21">
        <f>629+168</f>
        <v>797</v>
      </c>
      <c r="C82" s="40">
        <f>'Biomass Data Assumptions'!B50*B82</f>
        <v>1793.25</v>
      </c>
      <c r="D82" s="40">
        <f>C82*'Energy Content Assumptions'!C12</f>
        <v>1524.2625</v>
      </c>
      <c r="E82" s="41"/>
      <c r="F82" s="41"/>
      <c r="G82" s="41"/>
      <c r="H82" s="36"/>
      <c r="I82" s="36"/>
      <c r="J82" s="36"/>
      <c r="K82" s="36"/>
      <c r="L82" s="36"/>
      <c r="M82" s="36"/>
      <c r="N82" s="36"/>
      <c r="O82" s="36"/>
      <c r="P82" s="36"/>
      <c r="Q82" s="36"/>
      <c r="R82" s="36"/>
    </row>
    <row r="83" spans="1:18" x14ac:dyDescent="0.25">
      <c r="A83" s="39" t="s">
        <v>521</v>
      </c>
      <c r="B83" s="21">
        <v>6730</v>
      </c>
      <c r="C83" s="40">
        <f>'Biomass Data Assumptions'!B51*B83</f>
        <v>16825</v>
      </c>
      <c r="D83" s="40">
        <f>C83*'Energy Content Assumptions'!C13</f>
        <v>14301.25</v>
      </c>
      <c r="E83" s="41"/>
      <c r="F83" s="41"/>
      <c r="G83" s="41"/>
      <c r="H83" s="36"/>
      <c r="I83" s="36"/>
      <c r="J83" s="36"/>
      <c r="K83" s="36"/>
      <c r="L83" s="36"/>
      <c r="M83" s="36"/>
      <c r="N83" s="36"/>
      <c r="O83" s="36"/>
      <c r="P83" s="36"/>
      <c r="Q83" s="36"/>
      <c r="R83" s="36"/>
    </row>
    <row r="84" spans="1:18" x14ac:dyDescent="0.25">
      <c r="A84" s="39" t="s">
        <v>528</v>
      </c>
      <c r="B84" s="21">
        <v>1233</v>
      </c>
      <c r="C84" s="40">
        <f>'Biomass Data Assumptions'!B52*B84</f>
        <v>20221.199999999997</v>
      </c>
      <c r="D84" s="40">
        <f>C84*'Energy Content Assumptions'!C14</f>
        <v>7077.4199999999983</v>
      </c>
      <c r="E84" s="41"/>
      <c r="F84" s="41"/>
      <c r="G84" s="41"/>
      <c r="H84" s="36"/>
      <c r="I84" s="36"/>
      <c r="J84" s="36"/>
      <c r="K84" s="36"/>
      <c r="L84" s="36"/>
      <c r="M84" s="36"/>
      <c r="N84" s="36"/>
      <c r="O84" s="36"/>
      <c r="P84" s="36"/>
      <c r="Q84" s="36"/>
      <c r="R84" s="36"/>
    </row>
    <row r="85" spans="1:18" x14ac:dyDescent="0.25">
      <c r="A85" s="39" t="s">
        <v>529</v>
      </c>
      <c r="B85" s="21">
        <v>5157</v>
      </c>
      <c r="C85" s="40">
        <f>'Biomass Data Assumptions'!B53*B85</f>
        <v>16502.400000000001</v>
      </c>
      <c r="D85" s="40">
        <f>C85*'Energy Content Assumptions'!C15</f>
        <v>14027.04</v>
      </c>
      <c r="E85" s="41"/>
      <c r="F85" s="41"/>
      <c r="G85" s="41"/>
      <c r="H85" s="36"/>
      <c r="I85" s="36"/>
      <c r="J85" s="36"/>
      <c r="K85" s="36"/>
      <c r="L85" s="36"/>
      <c r="M85" s="36"/>
      <c r="N85" s="36"/>
      <c r="O85" s="36"/>
      <c r="P85" s="36"/>
      <c r="Q85" s="36"/>
      <c r="R85" s="36"/>
    </row>
    <row r="86" spans="1:18" x14ac:dyDescent="0.25">
      <c r="A86" s="39" t="s">
        <v>530</v>
      </c>
      <c r="B86" s="21">
        <v>26304</v>
      </c>
      <c r="C86" s="40">
        <f>'Biomass Data Assumptions'!B54*B86</f>
        <v>44716.799999999996</v>
      </c>
      <c r="D86" s="40">
        <f>C86*'Energy Content Assumptions'!C16</f>
        <v>38009.279999999999</v>
      </c>
      <c r="E86" s="41"/>
      <c r="F86" s="41"/>
      <c r="G86" s="41"/>
      <c r="H86" s="36"/>
      <c r="I86" s="36"/>
      <c r="J86" s="36"/>
      <c r="K86" s="36"/>
      <c r="L86" s="36"/>
      <c r="M86" s="36"/>
      <c r="N86" s="36"/>
      <c r="O86" s="36"/>
      <c r="P86" s="36"/>
      <c r="Q86" s="36"/>
      <c r="R86" s="36"/>
    </row>
    <row r="87" spans="1:18" x14ac:dyDescent="0.25">
      <c r="A87" s="39" t="s">
        <v>522</v>
      </c>
      <c r="B87" s="21">
        <f>2049+7</f>
        <v>2056</v>
      </c>
      <c r="C87" s="40">
        <f>'Biomass Data Assumptions'!B55*B87</f>
        <v>3598</v>
      </c>
      <c r="D87" s="40">
        <f>C87*'Energy Content Assumptions'!C17</f>
        <v>3058.2999999999997</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3750</v>
      </c>
      <c r="C97" s="41">
        <f>ROUND('Biomass Data Assumptions'!$B$60/1000*B97,0)</f>
        <v>3750</v>
      </c>
      <c r="D97" s="41">
        <f>'Biomass Data Assumptions'!$C$60*C97</f>
        <v>125925000</v>
      </c>
      <c r="E97" s="41">
        <f>('Biomass Data Assumptions'!$D$60*'Energy Content Assumptions'!$C$44*D97)/2000</f>
        <v>1511.1</v>
      </c>
      <c r="F97" s="41">
        <f>('Biomass Data Assumptions'!$E$60*B97*365)/2000</f>
        <v>2737.5</v>
      </c>
      <c r="G97" s="41">
        <f>F97+E97</f>
        <v>4248.6000000000004</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ht="11.25" customHeight="1" x14ac:dyDescent="0.25">
      <c r="A100" s="460" t="s">
        <v>603</v>
      </c>
      <c r="B100" s="85">
        <v>606</v>
      </c>
      <c r="C100" s="41">
        <f>ROUND('Biomass Data Assumptions'!B62/1000*B100,0)</f>
        <v>212</v>
      </c>
      <c r="D100" s="41">
        <f>'Biomass Data Assumptions'!C62*C100</f>
        <v>6190400</v>
      </c>
      <c r="E100" s="41">
        <f>('Biomass Data Assumptions'!D62*'Energy Content Assumptions'!C46*D100)/2000</f>
        <v>278.56799999999998</v>
      </c>
      <c r="F100" s="41">
        <f>('Biomass Data Assumptions'!E62*B100*365)/2000</f>
        <v>552.97500000000002</v>
      </c>
      <c r="G100" s="41">
        <f>F100+E100</f>
        <v>831.54300000000001</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ht="11.25" customHeight="1" x14ac:dyDescent="0.25">
      <c r="A102" s="460" t="s">
        <v>604</v>
      </c>
      <c r="B102" s="85">
        <v>601</v>
      </c>
      <c r="C102" s="41">
        <f>ROUND('Biomass Data Assumptions'!B64/1000*B102,0)</f>
        <v>841</v>
      </c>
      <c r="D102" s="41">
        <f>'Biomass Data Assumptions'!C64*C102</f>
        <v>34073115</v>
      </c>
      <c r="E102" s="41">
        <f>('Biomass Data Assumptions'!D64*'Energy Content Assumptions'!C48*D102)/2000</f>
        <v>1533.2901750000001</v>
      </c>
      <c r="F102" s="41">
        <f>'Biomass Data Assumptions'!E64*B102*365/2000</f>
        <v>1096.825</v>
      </c>
      <c r="G102" s="41">
        <f>F102+E102</f>
        <v>2630.1151749999999</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 t="s">
        <v>544</v>
      </c>
      <c r="B104" s="85">
        <f t="shared" ref="B104:G104" si="14">SUM(B100:B103)</f>
        <v>1207</v>
      </c>
      <c r="C104" s="41">
        <f t="shared" si="14"/>
        <v>1053</v>
      </c>
      <c r="D104" s="41">
        <f t="shared" si="14"/>
        <v>40263515</v>
      </c>
      <c r="E104" s="41">
        <f t="shared" si="14"/>
        <v>1811.8581750000001</v>
      </c>
      <c r="F104" s="41">
        <f t="shared" si="14"/>
        <v>1649.8000000000002</v>
      </c>
      <c r="G104" s="41">
        <f t="shared" si="14"/>
        <v>3461.658175</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4529</v>
      </c>
      <c r="C106" s="41">
        <f>ROUND('Biomass Data Assumptions'!B66/1000*B106,0)</f>
        <v>4529</v>
      </c>
      <c r="D106" s="41">
        <f>'Biomass Data Assumptions'!C66*C106</f>
        <v>91746217.5</v>
      </c>
      <c r="E106" s="41">
        <f>('Biomass Data Assumptions'!D66*'Energy Content Assumptions'!C50*D106)/2000</f>
        <v>3211.1176125000002</v>
      </c>
      <c r="F106" s="41">
        <f>'Biomass Data Assumptions'!E66*B106*365/2000</f>
        <v>12398.137500000001</v>
      </c>
      <c r="G106" s="41">
        <f>F106+E106</f>
        <v>15609.255112500001</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3259</v>
      </c>
      <c r="C108" s="41">
        <f>ROUND('Biomass Data Assumptions'!B67/1000*B108,0)</f>
        <v>326</v>
      </c>
      <c r="D108" s="41">
        <f>'Biomass Data Assumptions'!C67*C108</f>
        <v>4878590</v>
      </c>
      <c r="E108" s="41">
        <f>('Biomass Data Assumptions'!D67*'Energy Content Assumptions'!C51*D108)/2000</f>
        <v>121.96475</v>
      </c>
      <c r="F108" s="41">
        <f>'Biomass Data Assumptions'!E67*B108*365/2000</f>
        <v>594.76750000000004</v>
      </c>
      <c r="G108" s="41">
        <f>F108+E108</f>
        <v>716.73225000000002</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1755</v>
      </c>
      <c r="C110" s="41">
        <f>ROUND('Biomass Data Assumptions'!B68/1000*B110,0)</f>
        <v>176</v>
      </c>
      <c r="D110" s="41">
        <f>'Biomass Data Assumptions'!C68*C110</f>
        <v>2633840</v>
      </c>
      <c r="E110" s="41">
        <f>('Biomass Data Assumptions'!D68*'Energy Content Assumptions'!C52*D110)/2000</f>
        <v>65.846000000000004</v>
      </c>
      <c r="F110" s="41">
        <f>'Biomass Data Assumptions'!E68*B110*365/2000</f>
        <v>320.28750000000002</v>
      </c>
      <c r="G110" s="41">
        <f>F110+E110</f>
        <v>386.13350000000003</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711</v>
      </c>
      <c r="C115" s="41">
        <f>ROUND('Biomass Data Assumptions'!$B$71/1000*B115,0)</f>
        <v>284</v>
      </c>
      <c r="D115" s="41">
        <f>'Biomass Data Assumptions'!$C$71*C115</f>
        <v>4872020</v>
      </c>
      <c r="E115" s="41">
        <f>('Biomass Data Assumptions'!$D$71*'Energy Content Assumptions'!$C$55*D115)/2000</f>
        <v>121.8005</v>
      </c>
      <c r="F115" s="41">
        <f>'Biomass Data Assumptions'!$E$71*B115*365/2000</f>
        <v>0</v>
      </c>
      <c r="G115" s="41">
        <f>F115+E115</f>
        <v>121.8005</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1454+4831+10705</f>
        <v>16990</v>
      </c>
      <c r="C117" s="41">
        <f>ROUND('Biomass Data Assumptions'!B72/1000*B117,0)</f>
        <v>85</v>
      </c>
      <c r="D117" s="41">
        <f>'Biomass Data Assumptions'!C72*C117</f>
        <v>1551250</v>
      </c>
      <c r="E117" s="41">
        <f>('Biomass Data Assumptions'!D72*'Energy Content Assumptions'!C56*D117)/2000</f>
        <v>151.24687499999999</v>
      </c>
      <c r="F117" s="41">
        <f>'Biomass Data Assumptions'!E72*B117*365/2000</f>
        <v>0</v>
      </c>
      <c r="G117" s="41">
        <f>F117+E117</f>
        <v>151.24687499999999</v>
      </c>
      <c r="H117" s="150" t="s">
        <v>610</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857</v>
      </c>
      <c r="C119" s="41">
        <f>ROUND('Biomass Data Assumptions'!B73/1000*B119,0)</f>
        <v>17</v>
      </c>
      <c r="D119" s="41">
        <f>'Biomass Data Assumptions'!C73*C119</f>
        <v>229585</v>
      </c>
      <c r="E119" s="41">
        <f>('Biomass Data Assumptions'!D73*'Energy Content Assumptions'!C57*D119)/2000</f>
        <v>21.52359375</v>
      </c>
      <c r="F119" s="41">
        <f>'Biomass Data Assumptions'!E73*B119*365/2000</f>
        <v>15.64025</v>
      </c>
      <c r="G119" s="41">
        <f>F119+E119</f>
        <v>37.163843749999998</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5">B97+B104+B106+B108+B110+B115+B117+B119</f>
        <v>33058</v>
      </c>
      <c r="C121" s="48">
        <f t="shared" si="15"/>
        <v>10220</v>
      </c>
      <c r="D121" s="48">
        <f t="shared" si="15"/>
        <v>272100017.5</v>
      </c>
      <c r="E121" s="48">
        <f t="shared" si="15"/>
        <v>7016.4575062500007</v>
      </c>
      <c r="F121" s="48">
        <f t="shared" si="15"/>
        <v>17716.132750000001</v>
      </c>
      <c r="G121" s="48">
        <f t="shared" si="15"/>
        <v>24732.590256250005</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6" t="s">
        <v>1013</v>
      </c>
      <c r="E123" s="36"/>
      <c r="F123" s="36"/>
      <c r="G123" s="36"/>
      <c r="H123" s="36"/>
      <c r="I123" s="36"/>
      <c r="J123" s="36"/>
      <c r="K123" s="36"/>
      <c r="L123" s="36"/>
      <c r="M123" s="36"/>
      <c r="N123" s="36"/>
      <c r="O123" s="36"/>
      <c r="P123" s="36"/>
      <c r="Q123" s="36"/>
      <c r="R123" s="36"/>
    </row>
    <row r="124" spans="1:18" x14ac:dyDescent="0.25">
      <c r="A124" s="50" t="s">
        <v>555</v>
      </c>
      <c r="B124" s="87">
        <v>8199.92</v>
      </c>
      <c r="C124" s="543">
        <f>B124*'Energy Content Assumptions'!C33</f>
        <v>7379.9279999999999</v>
      </c>
      <c r="D124" s="36"/>
      <c r="E124" s="36"/>
      <c r="F124" s="36"/>
      <c r="G124" s="36"/>
      <c r="H124" s="36"/>
      <c r="I124" s="36"/>
      <c r="J124" s="36"/>
      <c r="K124" s="36"/>
      <c r="L124" s="36"/>
      <c r="M124" s="36"/>
      <c r="N124" s="36"/>
      <c r="O124" s="36"/>
      <c r="P124" s="36"/>
      <c r="Q124" s="36"/>
      <c r="R124" s="36"/>
    </row>
    <row r="125" spans="1:18" x14ac:dyDescent="0.25">
      <c r="A125" s="50" t="s">
        <v>556</v>
      </c>
      <c r="B125" s="87">
        <v>2237.59</v>
      </c>
      <c r="C125" s="543">
        <f>B125*'Energy Content Assumptions'!C34</f>
        <v>2013.8310000000001</v>
      </c>
      <c r="D125" s="36"/>
      <c r="E125" s="36"/>
      <c r="F125" s="36"/>
      <c r="G125" s="36"/>
      <c r="H125" s="36"/>
      <c r="I125" s="36"/>
      <c r="J125" s="36"/>
      <c r="K125" s="36"/>
      <c r="L125" s="36"/>
      <c r="M125" s="36"/>
      <c r="N125" s="36"/>
      <c r="O125" s="36"/>
      <c r="P125" s="36"/>
      <c r="Q125" s="36"/>
      <c r="R125" s="36"/>
    </row>
    <row r="126" spans="1:18" x14ac:dyDescent="0.25">
      <c r="A126" s="50" t="s">
        <v>557</v>
      </c>
      <c r="B126" s="87">
        <v>4629.5600000000004</v>
      </c>
      <c r="C126" s="543">
        <f>B126*'Energy Content Assumptions'!C35</f>
        <v>4166.6040000000003</v>
      </c>
      <c r="D126" s="36"/>
      <c r="E126" s="36"/>
      <c r="F126" s="36"/>
      <c r="G126" s="36"/>
      <c r="H126" s="36"/>
      <c r="I126" s="36"/>
      <c r="J126" s="36"/>
      <c r="K126" s="36"/>
      <c r="L126" s="36"/>
      <c r="M126" s="36"/>
      <c r="N126" s="36"/>
      <c r="O126" s="36"/>
      <c r="P126" s="36"/>
      <c r="Q126" s="36"/>
      <c r="R126" s="36"/>
    </row>
    <row r="127" spans="1:18" x14ac:dyDescent="0.25">
      <c r="A127" s="50" t="s">
        <v>558</v>
      </c>
      <c r="B127" s="87">
        <v>1350.58</v>
      </c>
      <c r="C127" s="543">
        <f>B127*'Energy Content Assumptions'!C36</f>
        <v>1215.5219999999999</v>
      </c>
      <c r="D127" s="36"/>
      <c r="E127" s="36"/>
      <c r="F127" s="36"/>
      <c r="G127" s="36"/>
      <c r="H127" s="36"/>
      <c r="I127" s="36"/>
      <c r="J127" s="36"/>
      <c r="K127" s="36"/>
      <c r="L127" s="36"/>
      <c r="M127" s="36"/>
      <c r="N127" s="36"/>
      <c r="O127" s="36"/>
      <c r="P127" s="36"/>
      <c r="Q127" s="36"/>
      <c r="R127" s="36"/>
    </row>
    <row r="128" spans="1:18" x14ac:dyDescent="0.25">
      <c r="A128" s="50" t="s">
        <v>559</v>
      </c>
      <c r="B128" s="87">
        <v>6025.69</v>
      </c>
      <c r="C128" s="543">
        <f>B128*'Energy Content Assumptions'!C21</f>
        <v>3012.8449999999998</v>
      </c>
      <c r="D128" s="36"/>
      <c r="E128" s="36"/>
      <c r="F128" s="36"/>
      <c r="G128" s="36"/>
      <c r="H128" s="36"/>
      <c r="I128" s="36"/>
      <c r="J128" s="36"/>
      <c r="K128" s="36"/>
      <c r="L128" s="36"/>
      <c r="M128" s="36"/>
      <c r="N128" s="36"/>
      <c r="O128" s="36"/>
      <c r="P128" s="36"/>
      <c r="Q128" s="36"/>
      <c r="R128" s="36"/>
    </row>
    <row r="129" spans="1:18" x14ac:dyDescent="0.25">
      <c r="A129" s="50" t="s">
        <v>560</v>
      </c>
      <c r="B129" s="87">
        <v>0</v>
      </c>
      <c r="C129" s="543">
        <f>B129*'Energy Content Assumptions'!C22</f>
        <v>0</v>
      </c>
      <c r="D129" s="36"/>
      <c r="E129" s="36"/>
      <c r="F129" s="36"/>
      <c r="G129" s="36"/>
      <c r="H129" s="36"/>
      <c r="I129" s="36"/>
      <c r="J129" s="36"/>
      <c r="K129" s="36"/>
      <c r="L129" s="36"/>
      <c r="M129" s="36"/>
      <c r="N129" s="36"/>
      <c r="O129" s="36"/>
      <c r="P129" s="36"/>
      <c r="Q129" s="36"/>
      <c r="R129" s="36"/>
    </row>
    <row r="130" spans="1:18" x14ac:dyDescent="0.25">
      <c r="A130" s="50" t="s">
        <v>561</v>
      </c>
      <c r="B130" s="87">
        <v>5673.21</v>
      </c>
      <c r="C130" s="543">
        <f>B130*'Energy Content Assumptions'!C23</f>
        <v>1891.07</v>
      </c>
      <c r="D130" s="36"/>
      <c r="E130" s="36"/>
      <c r="F130" s="36"/>
      <c r="G130" s="36"/>
      <c r="H130" s="36"/>
      <c r="I130" s="36"/>
      <c r="J130" s="36"/>
      <c r="K130" s="36"/>
      <c r="L130" s="36"/>
      <c r="M130" s="36"/>
      <c r="N130" s="36"/>
      <c r="O130" s="36"/>
      <c r="P130" s="36"/>
      <c r="Q130" s="36"/>
      <c r="R130" s="36"/>
    </row>
    <row r="131" spans="1:18" x14ac:dyDescent="0.25">
      <c r="A131" s="50" t="s">
        <v>562</v>
      </c>
      <c r="B131" s="87">
        <v>1003.99</v>
      </c>
      <c r="C131" s="543">
        <f>B131*'Energy Content Assumptions'!C24</f>
        <v>501.995</v>
      </c>
      <c r="D131" s="36"/>
      <c r="E131" s="36"/>
      <c r="F131" s="36"/>
      <c r="G131" s="36"/>
      <c r="H131" s="36"/>
      <c r="I131" s="36"/>
      <c r="J131" s="36"/>
      <c r="K131" s="36"/>
      <c r="L131" s="36"/>
      <c r="M131" s="36"/>
      <c r="N131" s="36"/>
      <c r="O131" s="36"/>
      <c r="P131" s="36"/>
      <c r="Q131" s="36"/>
      <c r="R131" s="36"/>
    </row>
    <row r="132" spans="1:18" x14ac:dyDescent="0.25">
      <c r="A132" s="50" t="s">
        <v>563</v>
      </c>
      <c r="B132" s="87">
        <v>113.99</v>
      </c>
      <c r="C132" s="543">
        <f>B132*'Energy Content Assumptions'!C31</f>
        <v>28.497499999999999</v>
      </c>
      <c r="D132" s="36"/>
      <c r="E132" s="36"/>
      <c r="F132" s="36"/>
      <c r="G132" s="36"/>
      <c r="H132" s="36"/>
      <c r="I132" s="36"/>
      <c r="J132" s="36"/>
      <c r="K132" s="36"/>
      <c r="L132" s="36"/>
      <c r="M132" s="36"/>
      <c r="N132" s="36"/>
      <c r="O132" s="36"/>
      <c r="P132" s="36"/>
      <c r="Q132" s="36"/>
      <c r="R132" s="36"/>
    </row>
    <row r="133" spans="1:18" x14ac:dyDescent="0.25">
      <c r="A133" s="50" t="s">
        <v>564</v>
      </c>
      <c r="B133" s="87">
        <v>0</v>
      </c>
      <c r="C133" s="543">
        <f>B133*'Energy Content Assumptions'!C19</f>
        <v>0</v>
      </c>
      <c r="D133" s="36"/>
      <c r="E133" s="36"/>
      <c r="F133" s="36"/>
      <c r="G133" s="36"/>
      <c r="H133" s="36"/>
      <c r="I133" s="36"/>
      <c r="J133" s="36"/>
      <c r="K133" s="36"/>
      <c r="L133" s="36"/>
      <c r="M133" s="36"/>
      <c r="N133" s="36"/>
      <c r="O133" s="36"/>
      <c r="P133" s="36"/>
      <c r="Q133" s="36"/>
      <c r="R133" s="36"/>
    </row>
    <row r="134" spans="1:18" x14ac:dyDescent="0.25">
      <c r="A134" s="50" t="s">
        <v>565</v>
      </c>
      <c r="B134" s="87">
        <v>1705.15</v>
      </c>
      <c r="C134" s="543">
        <f>B134*'Energy Content Assumptions'!C32</f>
        <v>1364.1200000000001</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Assumptions'!$M$16</f>
        <v>113967.73</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Assumptions'!$F$16</f>
        <v>76176.070000000007</v>
      </c>
      <c r="C138" s="543">
        <f>B138*'Energy Content Assumptions'!$C$28</f>
        <v>38088.035000000003</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Assumptions'!$H$16</f>
        <v>27109.3</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Assumptions'!$I$16</f>
        <v>49066.770000000004</v>
      </c>
      <c r="C140" s="543">
        <f>B140*'Energy Content Assumptions'!$C$28</f>
        <v>24533.385000000002</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Assumptions'!J16,'Biomass Data Assumptions'!F16*'Biomass Data Assumptions'!I41)</f>
        <v>7762.3630140000014</v>
      </c>
      <c r="C141" s="543">
        <f>B141*'Energy Content Assumptions'!C26</f>
        <v>2328.7089042000002</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Assumptions'!K16,'Biomass Data Assumptions'!F16*'Biomass Data Assumptions'!I42)</f>
        <v>9543.4867650000015</v>
      </c>
      <c r="C142" s="543">
        <f>B142*'Energy Content Assumptions'!C27</f>
        <v>8589.1380885000017</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Assumptions'!L16,'Biomass Data Assumptions'!F16*'Biomass Data Assumptions'!I43)</f>
        <v>13213.681161</v>
      </c>
      <c r="C143" s="543">
        <f>B143*'Energy Content Assumptions'!$C$28</f>
        <v>6606.8405805000002</v>
      </c>
      <c r="D143" s="547" t="s">
        <v>1064</v>
      </c>
      <c r="E143" s="36"/>
      <c r="F143" s="36"/>
      <c r="G143" s="36"/>
      <c r="H143" s="36"/>
      <c r="I143" s="36"/>
      <c r="J143" s="36"/>
      <c r="K143" s="36"/>
      <c r="L143" s="36"/>
      <c r="M143" s="36"/>
      <c r="N143" s="36"/>
      <c r="O143" s="36"/>
      <c r="P143" s="36"/>
      <c r="Q143" s="36"/>
      <c r="R143" s="36"/>
    </row>
    <row r="144" spans="1:18" x14ac:dyDescent="0.25">
      <c r="A144" s="50" t="s">
        <v>463</v>
      </c>
      <c r="B144" s="87">
        <v>25931.81</v>
      </c>
      <c r="C144" s="543">
        <f>B144*'Energy Content Assumptions'!C29</f>
        <v>20745.448000000004</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8298.1792000000023</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Assumptions'!R16/2000</f>
        <v>564.73560000000009</v>
      </c>
      <c r="C148" s="1239">
        <f>B148*'Energy Content Assumptions'!C39</f>
        <v>480.02526000000006</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Assumptions'!S16/2000</f>
        <v>858.01306499999998</v>
      </c>
      <c r="C149" s="1239">
        <f>B149*'Energy Content Assumptions'!C40</f>
        <v>42.900653250000005</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S202"/>
  <sheetViews>
    <sheetView topLeftCell="A118"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441</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133.47319999999999</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343.21560000000005</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7318.5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716.04</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8511.2288000000008</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247.35</v>
      </c>
      <c r="D15" s="294">
        <f>E15*'Conversion Tables'!C14</f>
        <v>3113.0481599999998</v>
      </c>
      <c r="E15" s="294">
        <f>C15*'Prac. Rec. Assumptions'!B11</f>
        <v>197.88</v>
      </c>
      <c r="F15" s="294">
        <f>$E15</f>
        <v>197.88</v>
      </c>
      <c r="G15" s="294">
        <f>$E15</f>
        <v>197.88</v>
      </c>
      <c r="H15" s="294">
        <f>$E15</f>
        <v>197.88</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1487.925</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4443.375</v>
      </c>
      <c r="D17" s="294">
        <f>E17*'Conversion Tables'!C16</f>
        <v>59417.699175000002</v>
      </c>
      <c r="E17" s="294">
        <f>C17*'Prac. Rec. Assumptions'!B13</f>
        <v>3776.8687500000001</v>
      </c>
      <c r="F17" s="294">
        <f t="shared" si="2"/>
        <v>3776.8687500000001</v>
      </c>
      <c r="G17" s="294">
        <f t="shared" si="2"/>
        <v>3776.8687500000001</v>
      </c>
      <c r="H17" s="294">
        <f t="shared" si="2"/>
        <v>3776.8687500000001</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0</v>
      </c>
      <c r="D18" s="294">
        <f>E18*'Conversion Tables'!C17</f>
        <v>0</v>
      </c>
      <c r="E18" s="294">
        <f>C18*'Prac. Rec. Assumptions'!B14</f>
        <v>0</v>
      </c>
      <c r="F18" s="294">
        <f t="shared" si="2"/>
        <v>0</v>
      </c>
      <c r="G18" s="294">
        <f t="shared" si="2"/>
        <v>0</v>
      </c>
      <c r="H18" s="294">
        <f t="shared" si="2"/>
        <v>0</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1936.64</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3674.6349999999993</v>
      </c>
      <c r="D20" s="294">
        <f>E20*'Conversion Tables'!C19</f>
        <v>28662.152999999995</v>
      </c>
      <c r="E20" s="294">
        <f>C20*'Prac. Rec. Assumptions'!B16</f>
        <v>1837.3174999999997</v>
      </c>
      <c r="F20" s="294">
        <f t="shared" si="2"/>
        <v>1837.3174999999997</v>
      </c>
      <c r="G20" s="294">
        <f t="shared" si="2"/>
        <v>1837.3174999999997</v>
      </c>
      <c r="H20" s="294">
        <f t="shared" si="2"/>
        <v>1837.3174999999997</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657.47500000000002</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Assumptions'!P17*1000*'Energy Content Assumptions'!C18</f>
        <v>21617</v>
      </c>
      <c r="D22" s="294">
        <f>E22*'Conversion Tables'!C21</f>
        <v>168612.6</v>
      </c>
      <c r="E22" s="294">
        <f>C22*'Prac. Rec. Assumptions'!B18</f>
        <v>10808.5</v>
      </c>
      <c r="F22" s="294">
        <f t="shared" si="2"/>
        <v>10808.5</v>
      </c>
      <c r="G22" s="294">
        <f t="shared" si="2"/>
        <v>10808.5</v>
      </c>
      <c r="H22" s="294">
        <f t="shared" si="2"/>
        <v>10808.5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52680.83</v>
      </c>
      <c r="D23" s="294">
        <f>E23*'Conversion Tables'!C22</f>
        <v>860594.03888000001</v>
      </c>
      <c r="E23" s="294">
        <f>C23*'Prac. Rec. Assumptions'!B19</f>
        <v>52680.83</v>
      </c>
      <c r="F23" s="297">
        <f t="shared" si="2"/>
        <v>52680.83</v>
      </c>
      <c r="G23" s="297">
        <f t="shared" si="2"/>
        <v>52680.83</v>
      </c>
      <c r="H23" s="297">
        <f t="shared" si="2"/>
        <v>52680.83</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20448.235000000001</v>
      </c>
      <c r="D25" s="294">
        <f>E25*'Conversion Tables'!C24</f>
        <v>361933.75949999999</v>
      </c>
      <c r="E25" s="294">
        <f>C25*'Prac. Rec. Assumptions'!B21</f>
        <v>20448.235000000001</v>
      </c>
      <c r="F25" s="294">
        <f>($C25*(1+'Biomass Data Assumptions'!G$102))*'Prac. Rec. Assumptions'!$B21</f>
        <v>20913.732395776195</v>
      </c>
      <c r="G25" s="294">
        <f>($C25*(1+'Biomass Data Assumptions'!H$102))*'Prac. Rec. Assumptions'!$B21</f>
        <v>21412.880205704882</v>
      </c>
      <c r="H25" s="294">
        <f>($C25*(1+'Biomass Data Assumptions'!I$102))*'Prac. Rec. Assumptions'!$B21</f>
        <v>22007.370855732308</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508.18999999999994</v>
      </c>
      <c r="D26" s="294">
        <f>E26*'Conversion Tables'!C25</f>
        <v>7927.7639999999992</v>
      </c>
      <c r="E26" s="294">
        <f>C26*'Prac. Rec. Assumptions'!B22</f>
        <v>508.18999999999994</v>
      </c>
      <c r="F26" s="294">
        <f>($C26*(1+'Biomass Data Assumptions'!G$102))*'Prac. Rec. Assumptions'!$B22</f>
        <v>519.75877948436641</v>
      </c>
      <c r="G26" s="294">
        <f>($C26*(1+'Biomass Data Assumptions'!H$102))*'Prac. Rec. Assumptions'!$B22</f>
        <v>532.16385628085561</v>
      </c>
      <c r="H26" s="294">
        <f>($C26*(1+'Biomass Data Assumptions'!I$102))*'Prac. Rec. Assumptions'!$B22</f>
        <v>546.93844212835972</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10535.286666666667</v>
      </c>
      <c r="D27" s="294">
        <f>E27*'Conversion Tables'!C26</f>
        <v>164350.47200000001</v>
      </c>
      <c r="E27" s="294">
        <f>C27*'Prac. Rec. Assumptions'!B23</f>
        <v>10535.286666666667</v>
      </c>
      <c r="F27" s="294">
        <f>($C27*(1+'Biomass Data Assumptions'!G$102))*'Prac. Rec. Assumptions'!$B23</f>
        <v>10775.119029072957</v>
      </c>
      <c r="G27" s="294">
        <f>($C27*(1+'Biomass Data Assumptions'!H$102))*'Prac. Rec. Assumptions'!$B23</f>
        <v>11032.288670689339</v>
      </c>
      <c r="H27" s="294">
        <f>($C27*(1+'Biomass Data Assumptions'!I$102))*'Prac. Rec. Assumptions'!$B23</f>
        <v>11338.580603400987</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1471.69</v>
      </c>
      <c r="D28" s="294">
        <f>E28*'Conversion Tables'!C27</f>
        <v>26048.913</v>
      </c>
      <c r="E28" s="294">
        <f>C28*'Prac. Rec. Assumptions'!B24</f>
        <v>1471.69</v>
      </c>
      <c r="F28" s="294">
        <f>($C28*(1+'Biomass Data Assumptions'!G$102))*'Prac. Rec. Assumptions'!$B24</f>
        <v>1505.1925425123425</v>
      </c>
      <c r="G28" s="294">
        <f>($C28*(1+'Biomass Data Assumptions'!H$102))*'Prac. Rec. Assumptions'!$B24</f>
        <v>1541.1169555677454</v>
      </c>
      <c r="H28" s="294">
        <f>($C28*(1+'Biomass Data Assumptions'!I$102))*'Prac. Rec. Assumptions'!$B24</f>
        <v>1583.9033351618211</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119708.63166666668</v>
      </c>
      <c r="D29" s="295">
        <f>SUM(D13:D28)</f>
        <v>1680660.4477149998</v>
      </c>
      <c r="E29" s="295">
        <f t="shared" si="3"/>
        <v>102264.79791666668</v>
      </c>
      <c r="F29" s="295">
        <f>SUM(F13:F28)</f>
        <v>103015.19899684588</v>
      </c>
      <c r="G29" s="295">
        <f>SUM(G13:G28)</f>
        <v>103819.84593824281</v>
      </c>
      <c r="H29" s="295">
        <f>SUM(H13:H28)</f>
        <v>104778.18948642349</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11189.588671799998</v>
      </c>
      <c r="D32" s="294">
        <f>E32*'Conversion Tables'!C29</f>
        <v>107420.05124928</v>
      </c>
      <c r="E32" s="294">
        <f>C32*'Prac. Rec. Assumptions'!B26</f>
        <v>6713.7532030800003</v>
      </c>
      <c r="F32" s="294">
        <f>($C32*(1+'Biomass Data Assumptions'!G$102)*(1+'Biomass Data Assumptions'!C$82))*'Prac. Rec. Assumptions'!$B26</f>
        <v>6861.9273298599765</v>
      </c>
      <c r="G32" s="294">
        <f>($C32*(1+'Biomass Data Assumptions'!H$102)*(1+'Biomass Data Assumptions'!D$82))*'Prac. Rec. Assumptions'!$B26</f>
        <v>7020.9305634065258</v>
      </c>
      <c r="H32" s="294">
        <f>($C32*(1+'Biomass Data Assumptions'!I$102)*(1+'Biomass Data Assumptions'!E$82))*'Prac. Rec. Assumptions'!$B26</f>
        <v>7210.9548339708208</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41271.333691499996</v>
      </c>
      <c r="D33" s="294">
        <f>E33*'Conversion Tables'!C30</f>
        <v>479473.84629437036</v>
      </c>
      <c r="E33" s="294">
        <f>C33*'Prac. Rec. Assumptions'!B27</f>
        <v>33017.066953199996</v>
      </c>
      <c r="F33" s="294">
        <f>($C33*(1+'Biomass Data Assumptions'!G$102)*(1+'Biomass Data Assumptions'!C$82))*'Prac. Rec. Assumptions'!$B27</f>
        <v>33745.761457844892</v>
      </c>
      <c r="G33" s="294">
        <f>($C33*(1+'Biomass Data Assumptions'!H$102)*(1+'Biomass Data Assumptions'!D$82))*'Prac. Rec. Assumptions'!$B27</f>
        <v>34527.711620292517</v>
      </c>
      <c r="H33" s="294">
        <f>($C33*(1+'Biomass Data Assumptions'!I$102)*(1+'Biomass Data Assumptions'!E$82))*'Prac. Rec. Assumptions'!$B27</f>
        <v>35462.21783077938</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31746.272959499995</v>
      </c>
      <c r="D34" s="294">
        <f>E34*'Conversion Tables'!C31</f>
        <v>331933.95066085848</v>
      </c>
      <c r="E34" s="294">
        <f>C34*'Prac. Rec. Assumptions'!B28</f>
        <v>22857.316530839998</v>
      </c>
      <c r="F34" s="294">
        <f>($C34*(1+'Biomass Data Assumptions'!G$102)*(1+'Biomass Data Assumptions'!C$82))*'Prac. Rec. Assumptions'!$B28</f>
        <v>23361.782932127582</v>
      </c>
      <c r="G34" s="294">
        <f>($C34*(1+'Biomass Data Assumptions'!H$102)*(1+'Biomass Data Assumptions'!D$82))*'Prac. Rec. Assumptions'!$B28</f>
        <v>23903.117581863175</v>
      </c>
      <c r="H34" s="294">
        <f>($C34*(1+'Biomass Data Assumptions'!I$102)*(1+'Biomass Data Assumptions'!E$82))*'Prac. Rec. Assumptions'!$B28</f>
        <v>24550.064940434153</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20757.116800000003</v>
      </c>
      <c r="D35" s="294">
        <f>E35*'Conversion Tables'!C32</f>
        <v>235136.61911040009</v>
      </c>
      <c r="E35" s="294">
        <f>C35*'Prac. Rec. Assumptions'!B29</f>
        <v>13284.554752000005</v>
      </c>
      <c r="F35" s="294">
        <f>($C35*(1+'Biomass Data Assumptions'!G$102)*(1+'Biomass Data Assumptions'!C$83))*'Prac. Rec. Assumptions'!$B29</f>
        <v>14269.190088014142</v>
      </c>
      <c r="G35" s="294">
        <f>($C35*(1+'Biomass Data Assumptions'!H$102)*(1+'Biomass Data Assumptions'!D$83))*'Prac. Rec. Assumptions'!$B29</f>
        <v>15343.324336956164</v>
      </c>
      <c r="H35" s="294">
        <f>($C35*(1+'Biomass Data Assumptions'!I$102)*(1+'Biomass Data Assumptions'!E$83))*'Prac. Rec. Assumptions'!$B29</f>
        <v>16561.098550237049</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1303.73</v>
      </c>
      <c r="D37" s="294">
        <f>E37*'Conversion Tables'!C34</f>
        <v>20859.68</v>
      </c>
      <c r="E37" s="294">
        <f>C37*'Prac. Rec. Assumptions'!B31</f>
        <v>1303.73</v>
      </c>
      <c r="F37" s="294">
        <f>($C37*(1+'Biomass Data Assumptions'!G$102)*(1+'Biomass Data Assumptions'!C$84))*'Prac. Rec. Assumptions'!$B31</f>
        <v>1458.0509734168547</v>
      </c>
      <c r="G37" s="294">
        <f>($C37*(1+'Biomass Data Assumptions'!H$102)*(1+'Biomass Data Assumptions'!D$84))*'Prac. Rec. Assumptions'!$B31</f>
        <v>1632.3962064692187</v>
      </c>
      <c r="H37" s="294">
        <f>($C37*(1+'Biomass Data Assumptions'!I$102)*(1+'Biomass Data Assumptions'!E$84))*'Prac. Rec. Assumptions'!$B31</f>
        <v>1834.5433582060778</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18524.912</v>
      </c>
      <c r="D38" s="294">
        <f>E38*'Conversion Tables'!C35</f>
        <v>163945.4712</v>
      </c>
      <c r="E38" s="294">
        <f>C38*'Prac. Rec. Assumptions'!B32</f>
        <v>9262.4560000000001</v>
      </c>
      <c r="F38" s="294">
        <f>($C38*(1+'Biomass Data Assumptions'!G$102)*(1+'Biomass Data Assumptions'!C$84))*'Prac. Rec. Assumptions'!$B32</f>
        <v>10358.841928183585</v>
      </c>
      <c r="G38" s="294">
        <f>($C38*(1+'Biomass Data Assumptions'!H$102)*(1+'Biomass Data Assumptions'!D$84))*'Prac. Rec. Assumptions'!$B32</f>
        <v>11597.491840325874</v>
      </c>
      <c r="H38" s="294">
        <f>($C38*(1+'Biomass Data Assumptions'!I$102)*(1+'Biomass Data Assumptions'!E$84))*'Prac. Rec. Assumptions'!$B32</f>
        <v>13033.662748786968</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28732.239000000001</v>
      </c>
      <c r="D39" s="299">
        <f>E39*'Conversion Tables'!C36</f>
        <v>0</v>
      </c>
      <c r="E39" s="299">
        <f>C39*'Prac. Rec. Assumptions'!B33</f>
        <v>0</v>
      </c>
      <c r="F39" s="294">
        <f>($C39*(1+'Biomass Data Assumptions'!G$102)*(1+'Biomass Data Assumptions'!C$84))*'Prac. Rec. Assumptions'!$B33</f>
        <v>0</v>
      </c>
      <c r="G39" s="294">
        <f>($C39*(1+'Biomass Data Assumptions'!H$102)*(1+'Biomass Data Assumptions'!D$84))*'Prac. Rec. Assumptions'!$B33</f>
        <v>0</v>
      </c>
      <c r="H39" s="294">
        <f>($C39*(1+'Biomass Data Assumptions'!I$102)*(1+'Biomass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6688.9080000000004</v>
      </c>
      <c r="D40" s="299">
        <f>E40*'Conversion Tables'!C37</f>
        <v>0</v>
      </c>
      <c r="E40" s="299">
        <f>C40*'Prac. Rec. Assumptions'!B34</f>
        <v>0</v>
      </c>
      <c r="F40" s="294">
        <f>($C40*(1+'Biomass Data Assumptions'!G$102)*(1+'Biomass Data Assumptions'!C$84))*'Prac. Rec. Assumptions'!$B34</f>
        <v>0</v>
      </c>
      <c r="G40" s="294">
        <f>($C40*(1+'Biomass Data Assumptions'!H$102)*(1+'Biomass Data Assumptions'!D$84))*'Prac. Rec. Assumptions'!$B34</f>
        <v>0</v>
      </c>
      <c r="H40" s="294">
        <f>($C40*(1+'Biomass Data Assumptions'!I$102)*(1+'Biomass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10189.665000000001</v>
      </c>
      <c r="D41" s="299">
        <f>E41*'Conversion Tables'!C38</f>
        <v>0</v>
      </c>
      <c r="E41" s="299">
        <f>C41*'Prac. Rec. Assumptions'!B35</f>
        <v>0</v>
      </c>
      <c r="F41" s="294">
        <f>($C41*(1+'Biomass Data Assumptions'!G$102)*(1+'Biomass Data Assumptions'!C$84))*'Prac. Rec. Assumptions'!$B35</f>
        <v>0</v>
      </c>
      <c r="G41" s="294">
        <f>($C41*(1+'Biomass Data Assumptions'!H$102)*(1+'Biomass Data Assumptions'!D$84))*'Prac. Rec. Assumptions'!$B35</f>
        <v>0</v>
      </c>
      <c r="H41" s="294">
        <f>($C41*(1+'Biomass Data Assumptions'!I$102)*(1+'Biomass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4641.4170000000004</v>
      </c>
      <c r="D42" s="299">
        <f>E42*'Conversion Tables'!C39</f>
        <v>67402.657674000002</v>
      </c>
      <c r="E42" s="299">
        <f>C42*'Prac. Rec. Assumptions'!B36</f>
        <v>4641.4170000000004</v>
      </c>
      <c r="F42" s="294">
        <f>($C42*(1+'Biomass Data Assumptions'!G$102)*(1+'Biomass Data Assumptions'!C$84))*'Prac. Rec. Assumptions'!$B36</f>
        <v>5190.8160239340486</v>
      </c>
      <c r="G42" s="294">
        <f>($C42*(1+'Biomass Data Assumptions'!H$102)*(1+'Biomass Data Assumptions'!D$84))*'Prac. Rec. Assumptions'!$B36</f>
        <v>5811.5035348129913</v>
      </c>
      <c r="H42" s="294">
        <f>($C42*(1+'Biomass Data Assumptions'!I$102)*(1+'Biomass Data Assumptions'!E$84))*'Prac. Rec. Assumptions'!$B36</f>
        <v>6531.1688233106397</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175045.18312279996</v>
      </c>
      <c r="D43" s="295">
        <f t="shared" si="4"/>
        <v>1406172.2761889088</v>
      </c>
      <c r="E43" s="295">
        <f t="shared" si="4"/>
        <v>91080.29443912</v>
      </c>
      <c r="F43" s="295">
        <f t="shared" si="4"/>
        <v>95246.370733381089</v>
      </c>
      <c r="G43" s="295">
        <f t="shared" si="4"/>
        <v>99836.475684126461</v>
      </c>
      <c r="H43" s="295">
        <f t="shared" si="4"/>
        <v>105183.71108572508</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3841.92</v>
      </c>
      <c r="D46" s="294">
        <f>E46*'Conversion Tables'!C41</f>
        <v>0</v>
      </c>
      <c r="E46" s="294">
        <f>C46*'Prac. Rec. Assumptions'!B38</f>
        <v>3841.92</v>
      </c>
      <c r="F46" s="294">
        <f>$E46</f>
        <v>3841.92</v>
      </c>
      <c r="G46" s="294">
        <f>$E46</f>
        <v>3841.92</v>
      </c>
      <c r="H46" s="294">
        <f>$E46</f>
        <v>3841.92</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1370.7586200000001</v>
      </c>
      <c r="D47" s="294"/>
      <c r="E47" s="294">
        <f>C47*'Prac. Rec. Assumptions'!B39</f>
        <v>685.37931000000003</v>
      </c>
      <c r="F47" s="294">
        <f>($C47*(1+'Biomass Data Assumptions'!G$102))*'Prac. Rec. Assumptions'!$B39</f>
        <v>700.98174629456946</v>
      </c>
      <c r="G47" s="294">
        <f>($C47*(1+'Biomass Data Assumptions'!H$102))*'Prac. Rec. Assumptions'!$B39</f>
        <v>717.71206955019193</v>
      </c>
      <c r="H47" s="294">
        <f>($C47*(1+'Biomass Data Assumptions'!I$102))*'Prac. Rec. Assumptions'!$B39</f>
        <v>737.63807252879872</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122.50697024999999</v>
      </c>
      <c r="D48" s="294"/>
      <c r="E48" s="294">
        <f>C48*'Prac. Rec. Assumptions'!B40</f>
        <v>122.50697024999999</v>
      </c>
      <c r="F48" s="294">
        <f>($C48*(1+'Biomass Data Assumptions'!G$102))*'Prac. Rec. Assumptions'!$B40</f>
        <v>125.29580144329402</v>
      </c>
      <c r="G48" s="294">
        <f>($C48*(1+'Biomass Data Assumptions'!H$102))*'Prac. Rec. Assumptions'!$B40</f>
        <v>128.28623489152494</v>
      </c>
      <c r="H48" s="294">
        <f>($C48*(1+'Biomass Data Assumptions'!I$102))*'Prac. Rec. Assumptions'!$B40</f>
        <v>131.84787472874382</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5335.185590250001</v>
      </c>
      <c r="D49" s="295">
        <f>SUM(D45:D48)</f>
        <v>0</v>
      </c>
      <c r="E49" s="295">
        <f t="shared" si="6"/>
        <v>4649.8062802500008</v>
      </c>
      <c r="F49" s="295">
        <f>SUM(F45:F48)</f>
        <v>4668.1975477378637</v>
      </c>
      <c r="G49" s="295">
        <f>SUM(G45:G48)</f>
        <v>4687.9183044417168</v>
      </c>
      <c r="H49" s="295">
        <f>SUM(H45:H48)</f>
        <v>4711.4059472575427</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428.25887999999998</v>
      </c>
      <c r="D52" s="299">
        <f>E52*'Conversion Tables'!C45</f>
        <v>1264.5628208639998</v>
      </c>
      <c r="E52" s="299">
        <f>C52*'Prac. Rec. Assumptions'!B42</f>
        <v>85.651775999999998</v>
      </c>
      <c r="F52" s="294">
        <f t="shared" ref="F52:H59" si="7">$E52</f>
        <v>85.651775999999998</v>
      </c>
      <c r="G52" s="294">
        <f t="shared" si="7"/>
        <v>85.651775999999998</v>
      </c>
      <c r="H52" s="294">
        <f t="shared" si="7"/>
        <v>85.651775999999998</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111.04942499999999</v>
      </c>
      <c r="D53" s="299">
        <f>E53*'Conversion Tables'!C46</f>
        <v>983.72022641999979</v>
      </c>
      <c r="E53" s="299">
        <f>C53*'Prac. Rec. Assumptions'!B43</f>
        <v>66.629654999999985</v>
      </c>
      <c r="F53" s="294">
        <f t="shared" si="7"/>
        <v>66.629654999999985</v>
      </c>
      <c r="G53" s="294">
        <f t="shared" si="7"/>
        <v>66.629654999999985</v>
      </c>
      <c r="H53" s="294">
        <f t="shared" si="7"/>
        <v>66.629654999999985</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3153.5589375</v>
      </c>
      <c r="D54" s="299">
        <f>E54*'Conversion Tables'!C47</f>
        <v>27935.486491949996</v>
      </c>
      <c r="E54" s="299">
        <f>C54*'Prac. Rec. Assumptions'!B44</f>
        <v>1892.1353624999999</v>
      </c>
      <c r="F54" s="294">
        <f t="shared" si="7"/>
        <v>1892.1353624999999</v>
      </c>
      <c r="G54" s="294">
        <f t="shared" si="7"/>
        <v>1892.1353624999999</v>
      </c>
      <c r="H54" s="294">
        <f t="shared" si="7"/>
        <v>1892.1353624999999</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228.34399999999999</v>
      </c>
      <c r="D55" s="299">
        <f>E55*'Conversion Tables'!C48</f>
        <v>674.25416319999999</v>
      </c>
      <c r="E55" s="299">
        <f>C55*'Prac. Rec. Assumptions'!B45</f>
        <v>45.668800000000005</v>
      </c>
      <c r="F55" s="294">
        <f t="shared" si="7"/>
        <v>45.668800000000005</v>
      </c>
      <c r="G55" s="294">
        <f t="shared" si="7"/>
        <v>45.668800000000005</v>
      </c>
      <c r="H55" s="294">
        <f t="shared" si="7"/>
        <v>45.668800000000005</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22.173750000000002</v>
      </c>
      <c r="D56" s="299">
        <f>E56*'Conversion Tables'!C49</f>
        <v>65.474648999999999</v>
      </c>
      <c r="E56" s="299">
        <f>C56*'Prac. Rec. Assumptions'!B46</f>
        <v>4.4347500000000002</v>
      </c>
      <c r="F56" s="294">
        <f t="shared" si="7"/>
        <v>4.4347500000000002</v>
      </c>
      <c r="G56" s="294">
        <f t="shared" si="7"/>
        <v>4.4347500000000002</v>
      </c>
      <c r="H56" s="294">
        <f t="shared" si="7"/>
        <v>4.4347500000000002</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0.85775000000000001</v>
      </c>
      <c r="D57" s="299">
        <f>E57*'Conversion Tables'!C50</f>
        <v>6.3319105000000002</v>
      </c>
      <c r="E57" s="299">
        <f>C57*'Prac. Rec. Assumptions'!B47</f>
        <v>0.42887500000000001</v>
      </c>
      <c r="F57" s="294">
        <f t="shared" si="7"/>
        <v>0.42887500000000001</v>
      </c>
      <c r="G57" s="294">
        <f t="shared" si="7"/>
        <v>0.42887500000000001</v>
      </c>
      <c r="H57" s="294">
        <f t="shared" si="7"/>
        <v>0.42887500000000001</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30.249375000000001</v>
      </c>
      <c r="D58" s="299">
        <f>E58*'Conversion Tables'!C51</f>
        <v>362.99250000000001</v>
      </c>
      <c r="E58" s="299">
        <f>C58*'Prac. Rec. Assumptions'!B48</f>
        <v>30.249375000000001</v>
      </c>
      <c r="F58" s="294">
        <f t="shared" si="7"/>
        <v>30.249375000000001</v>
      </c>
      <c r="G58" s="294">
        <f t="shared" si="7"/>
        <v>30.249375000000001</v>
      </c>
      <c r="H58" s="294">
        <f t="shared" si="7"/>
        <v>30.249375000000001</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0.29199999999999998</v>
      </c>
      <c r="D59" s="299">
        <f>E59*'Conversion Tables'!C52</f>
        <v>4.3110879999999998</v>
      </c>
      <c r="E59" s="299">
        <f>C59*'Prac. Rec. Assumptions'!B49</f>
        <v>0.29199999999999998</v>
      </c>
      <c r="F59" s="294">
        <f t="shared" si="7"/>
        <v>0.29199999999999998</v>
      </c>
      <c r="G59" s="294">
        <f t="shared" si="7"/>
        <v>0.29199999999999998</v>
      </c>
      <c r="H59" s="294">
        <f t="shared" si="7"/>
        <v>0.29199999999999998</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Assumptions'!AE17</f>
        <v>13427.348341000001</v>
      </c>
      <c r="D60" s="299">
        <f>E60*'Conversion Tables'!C53</f>
        <v>161128.180092</v>
      </c>
      <c r="E60" s="299">
        <f>C60*'Prac. Rec. Assumptions'!B50</f>
        <v>13427.348341000001</v>
      </c>
      <c r="F60" s="294">
        <f>($C60*(1+'Biomass Data Assumptions'!G$102*(4/5)))*'Prac. Rec. Assumptions'!$B50</f>
        <v>13671.883702997367</v>
      </c>
      <c r="G60" s="294">
        <f>($C60*(1+'Biomass Data Assumptions'!H$102*(9/10)))*'Prac. Rec. Assumptions'!$B50</f>
        <v>13997.439817463743</v>
      </c>
      <c r="H60" s="294">
        <f>($C60*(1+'Biomass Data Assumptions'!I$102*(14/15)))*'Prac. Rec. Assumptions'!$B50</f>
        <v>14382.902185270836</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17402.1324585</v>
      </c>
      <c r="D61" s="295">
        <f>SUM(D52:D60)</f>
        <v>192425.313941934</v>
      </c>
      <c r="E61" s="295">
        <f t="shared" ref="E61:P61" si="8">SUM(E52:E60)</f>
        <v>15552.8389345</v>
      </c>
      <c r="F61" s="295">
        <f>SUM(F52:F60)</f>
        <v>15797.374296497368</v>
      </c>
      <c r="G61" s="295">
        <f>SUM(G52:G60)</f>
        <v>16122.930410963741</v>
      </c>
      <c r="H61" s="295">
        <f>SUM(H52:H60)</f>
        <v>16508.392778770834</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Assumptions'!AB17</f>
        <v>149.43282134999998</v>
      </c>
      <c r="D63" s="300">
        <f>E63*'Conversion Tables'!C55</f>
        <v>92498.91641564999</v>
      </c>
      <c r="E63" s="299">
        <f>C63*'Prac. Rec. Assumptions'!B51</f>
        <v>149.43282134999998</v>
      </c>
      <c r="F63" s="294">
        <f>($C63*(1+'Biomass Data Assumptions'!G$102*(4/5)))*'Prac. Rec. Assumptions'!$B51</f>
        <v>152.15425287431154</v>
      </c>
      <c r="G63" s="294">
        <f>($C63*(1+'Biomass Data Assumptions'!H$102*(9/10)))*'Prac. Rec. Assumptions'!$B51</f>
        <v>155.77736351812396</v>
      </c>
      <c r="H63" s="294">
        <f>($C63*(1+'Biomass Data Assumptions'!I$102*(14/15)))*'Prac. Rec. Assumptions'!$B51</f>
        <v>160.06717023817333</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Assumptions'!X17</f>
        <v>0</v>
      </c>
      <c r="D64" s="300">
        <f>E64*'Conversion Tables'!C56</f>
        <v>0</v>
      </c>
      <c r="E64" s="299">
        <f>C64*'Prac. Rec. Assumptions'!B52</f>
        <v>0</v>
      </c>
      <c r="F64" s="545">
        <f>($C64*(1+'Biomass Data Assumptions'!G$102*(3/5))*(1+('Biomass Data Assumptions'!C$82-((1+'Biomass Data Assumptions'!$B$82)^2 - 1))))*'Prac. Rec. Assumptions'!$B52</f>
        <v>0</v>
      </c>
      <c r="G64" s="545">
        <f>($C64*(1+'Biomass Data Assumptions'!H$102*(4/5))*(1+('Biomass Data Assumptions'!D$82-((1+'Biomass Data Assumptions'!$B$82)^2 - 1))))*'Prac. Rec. Assumptions'!$B52</f>
        <v>0</v>
      </c>
      <c r="H64" s="545">
        <f>($C64*(1+'Biomass Data Assumptions'!I$102*(13/15))*(1+('Biomass Data Assumptions'!E$82-((1+'Biomass Data Assumptions'!$B$82)^2 - 1))))*'Prac. Rec. Assumptions'!$B52</f>
        <v>0</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149.43282134999998</v>
      </c>
      <c r="D65" s="295">
        <f>SUM(D63:D64)</f>
        <v>92498.91641564999</v>
      </c>
      <c r="E65" s="295">
        <f t="shared" ref="E65:P65" si="9">SUM(E63:E64)</f>
        <v>149.43282134999998</v>
      </c>
      <c r="F65" s="295">
        <f>SUM(F63:F64)</f>
        <v>152.15425287431154</v>
      </c>
      <c r="G65" s="295">
        <f>SUM(G63:G64)</f>
        <v>155.77736351812396</v>
      </c>
      <c r="H65" s="295">
        <f>SUM(H63:H64)</f>
        <v>160.06717023817333</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22469.857877486527</v>
      </c>
      <c r="D67" s="295">
        <f t="shared" ref="D67" si="10">D61+D65</f>
        <v>284924.23035758396</v>
      </c>
      <c r="E67" s="295">
        <f>E61+(E63*1000000/29487.1582406855)+(E64*1000000/25364.5039539246)</f>
        <v>20620.564353486527</v>
      </c>
      <c r="F67" s="295">
        <f t="shared" ref="F67:H67" si="11">F61+(F63*1000000/29487.1582406855)+(F64*1000000/25364.5039539246)</f>
        <v>20957.391807590506</v>
      </c>
      <c r="G67" s="295">
        <f t="shared" si="11"/>
        <v>21405.818719379538</v>
      </c>
      <c r="H67" s="295">
        <f t="shared" si="11"/>
        <v>21936.761593820549</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331070.08705720317</v>
      </c>
      <c r="D68" s="132"/>
      <c r="E68" s="132">
        <f>E11+E29+E43+E49+E67</f>
        <v>218615.46298952319</v>
      </c>
      <c r="F68" s="132">
        <f>F11+F29+F43+F49+F67</f>
        <v>223887.15908555532</v>
      </c>
      <c r="G68" s="132">
        <f>G11+G29+G43+G49+G67</f>
        <v>229750.05864619056</v>
      </c>
      <c r="H68" s="132">
        <f>H11+H29+H43+H49+H67</f>
        <v>236610.06811322665</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73</v>
      </c>
      <c r="C74" s="40">
        <f>'Biomass Data Assumptions'!B38*B74</f>
        <v>4766.8999999999996</v>
      </c>
      <c r="D74" s="40">
        <f>(C74*'Biomass Data Assumptions'!C38)/2000</f>
        <v>133.47319999999999</v>
      </c>
      <c r="E74" s="41"/>
      <c r="F74" s="41"/>
      <c r="G74" s="41"/>
      <c r="H74" s="36"/>
      <c r="I74" s="36"/>
      <c r="J74" s="36"/>
      <c r="K74" s="36"/>
      <c r="L74" s="36"/>
      <c r="M74" s="36"/>
      <c r="N74" s="36"/>
      <c r="O74" s="36"/>
      <c r="P74" s="36"/>
      <c r="Q74" s="36"/>
      <c r="R74" s="36"/>
    </row>
    <row r="75" spans="1:19" x14ac:dyDescent="0.25">
      <c r="A75" s="39" t="s">
        <v>520</v>
      </c>
      <c r="B75" s="21">
        <v>449</v>
      </c>
      <c r="C75" s="40">
        <f>'Biomass Data Assumptions'!B39*B75</f>
        <v>12257.7</v>
      </c>
      <c r="D75" s="40">
        <f>(C75*'Biomass Data Assumptions'!C39)/2000</f>
        <v>343.21560000000005</v>
      </c>
      <c r="E75" s="41"/>
      <c r="F75" s="41"/>
      <c r="G75" s="41"/>
      <c r="H75" s="36"/>
      <c r="I75" s="36"/>
      <c r="J75" s="36"/>
      <c r="K75" s="36"/>
      <c r="L75" s="36"/>
      <c r="M75" s="36"/>
      <c r="N75" s="36"/>
      <c r="O75" s="36"/>
      <c r="P75" s="36"/>
      <c r="Q75" s="36"/>
      <c r="R75" s="36"/>
    </row>
    <row r="76" spans="1:19" x14ac:dyDescent="0.25">
      <c r="A76" s="39" t="s">
        <v>521</v>
      </c>
      <c r="B76" s="21">
        <v>2091</v>
      </c>
      <c r="C76" s="40">
        <f>'Biomass Data Assumptions'!B40*B76</f>
        <v>261375</v>
      </c>
      <c r="D76" s="40">
        <f>(C76*'Biomass Data Assumptions'!C40)/2000</f>
        <v>7318.5</v>
      </c>
      <c r="E76" s="41"/>
      <c r="F76" s="41"/>
      <c r="G76" s="41"/>
      <c r="H76" s="36"/>
      <c r="I76" s="36"/>
      <c r="J76" s="36"/>
      <c r="K76" s="36"/>
      <c r="L76" s="36"/>
      <c r="M76" s="36"/>
      <c r="N76" s="36"/>
      <c r="O76" s="36"/>
      <c r="P76" s="36"/>
      <c r="Q76" s="36"/>
      <c r="R76" s="36"/>
    </row>
    <row r="77" spans="1:19" x14ac:dyDescent="0.25">
      <c r="A77" s="39" t="s">
        <v>525</v>
      </c>
      <c r="B77" s="21">
        <v>4002</v>
      </c>
      <c r="C77" s="40">
        <f>'Biomass Data Assumptions'!B41*B77</f>
        <v>128064</v>
      </c>
      <c r="D77" s="40">
        <f>(C77*'Biomass Data Assumptions'!C41)/2000</f>
        <v>3841.92</v>
      </c>
      <c r="E77" s="41"/>
      <c r="F77" s="41"/>
      <c r="G77" s="41"/>
      <c r="H77" s="36"/>
      <c r="I77" s="36"/>
      <c r="J77" s="36"/>
      <c r="K77" s="36"/>
      <c r="L77" s="36"/>
      <c r="M77" s="36"/>
      <c r="N77" s="36"/>
      <c r="O77" s="36"/>
      <c r="P77" s="36"/>
      <c r="Q77" s="36"/>
      <c r="R77" s="36"/>
    </row>
    <row r="78" spans="1:19" x14ac:dyDescent="0.25">
      <c r="A78" s="39" t="s">
        <v>522</v>
      </c>
      <c r="B78" s="21">
        <v>442</v>
      </c>
      <c r="C78" s="40">
        <f>'Biomass Data Assumptions'!B42*B78</f>
        <v>23868</v>
      </c>
      <c r="D78" s="40">
        <f>(C78*'Biomass Data Assumptions'!C42)/2000</f>
        <v>716.04</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291</v>
      </c>
      <c r="C81" s="40">
        <f>'Biomass Data Assumptions'!B49*B81</f>
        <v>291</v>
      </c>
      <c r="D81" s="40">
        <f>C81*'Energy Content Assumptions'!C11</f>
        <v>247.35</v>
      </c>
      <c r="E81" s="41"/>
      <c r="F81" s="41"/>
      <c r="G81" s="41"/>
      <c r="H81" s="36"/>
      <c r="I81" s="36"/>
      <c r="J81" s="36"/>
      <c r="K81" s="36"/>
      <c r="L81" s="36"/>
      <c r="M81" s="36"/>
      <c r="N81" s="36"/>
      <c r="O81" s="36"/>
      <c r="P81" s="36"/>
      <c r="Q81" s="36"/>
      <c r="R81" s="36"/>
    </row>
    <row r="82" spans="1:18" x14ac:dyDescent="0.25">
      <c r="A82" s="39" t="s">
        <v>520</v>
      </c>
      <c r="B82" s="21">
        <f>449+329</f>
        <v>778</v>
      </c>
      <c r="C82" s="40">
        <f>'Biomass Data Assumptions'!B50*B82</f>
        <v>1750.5</v>
      </c>
      <c r="D82" s="40">
        <f>C82*'Energy Content Assumptions'!C12</f>
        <v>1487.925</v>
      </c>
      <c r="E82" s="41" t="s">
        <v>600</v>
      </c>
      <c r="F82" s="41"/>
      <c r="G82" s="41"/>
      <c r="H82" s="36"/>
      <c r="I82" s="36"/>
      <c r="J82" s="36"/>
      <c r="K82" s="36"/>
      <c r="L82" s="36"/>
      <c r="M82" s="36"/>
      <c r="N82" s="36"/>
      <c r="O82" s="36"/>
      <c r="P82" s="36"/>
      <c r="Q82" s="36"/>
      <c r="R82" s="36"/>
    </row>
    <row r="83" spans="1:18" x14ac:dyDescent="0.25">
      <c r="A83" s="39" t="s">
        <v>521</v>
      </c>
      <c r="B83" s="21">
        <v>2091</v>
      </c>
      <c r="C83" s="40">
        <f>'Biomass Data Assumptions'!B51*B83</f>
        <v>5227.5</v>
      </c>
      <c r="D83" s="40">
        <f>C83*'Energy Content Assumptions'!C13</f>
        <v>4443.375</v>
      </c>
      <c r="E83" s="41"/>
      <c r="F83" s="41"/>
      <c r="G83" s="41"/>
      <c r="H83" s="36"/>
      <c r="I83" s="36"/>
      <c r="J83" s="36"/>
      <c r="K83" s="36"/>
      <c r="L83" s="36"/>
      <c r="M83" s="36"/>
      <c r="N83" s="36"/>
      <c r="O83" s="36"/>
      <c r="P83" s="36"/>
      <c r="Q83" s="36"/>
      <c r="R83" s="36"/>
    </row>
    <row r="84" spans="1:18" x14ac:dyDescent="0.25">
      <c r="A84" s="39" t="s">
        <v>528</v>
      </c>
      <c r="B84" s="21">
        <v>0</v>
      </c>
      <c r="C84" s="40">
        <f>'Biomass Data Assumptions'!B52*B84</f>
        <v>0</v>
      </c>
      <c r="D84" s="40">
        <f>C84*'Energy Content Assumptions'!C14</f>
        <v>0</v>
      </c>
      <c r="E84" s="41"/>
      <c r="F84" s="41"/>
      <c r="G84" s="41"/>
      <c r="H84" s="36"/>
      <c r="I84" s="36"/>
      <c r="J84" s="36"/>
      <c r="K84" s="36"/>
      <c r="L84" s="36"/>
      <c r="M84" s="36"/>
      <c r="N84" s="36"/>
      <c r="O84" s="36"/>
      <c r="P84" s="36"/>
      <c r="Q84" s="36"/>
      <c r="R84" s="36"/>
    </row>
    <row r="85" spans="1:18" x14ac:dyDescent="0.25">
      <c r="A85" s="39" t="s">
        <v>529</v>
      </c>
      <c r="B85" s="21">
        <v>712</v>
      </c>
      <c r="C85" s="40">
        <f>'Biomass Data Assumptions'!B53*B85</f>
        <v>2278.4</v>
      </c>
      <c r="D85" s="40">
        <f>C85*'Energy Content Assumptions'!C15</f>
        <v>1936.64</v>
      </c>
      <c r="E85" s="41"/>
      <c r="F85" s="41"/>
      <c r="G85" s="41"/>
      <c r="H85" s="36"/>
      <c r="I85" s="36"/>
      <c r="J85" s="36"/>
      <c r="K85" s="36"/>
      <c r="L85" s="36"/>
      <c r="M85" s="36"/>
      <c r="N85" s="36"/>
      <c r="O85" s="36"/>
      <c r="P85" s="36"/>
      <c r="Q85" s="36"/>
      <c r="R85" s="36"/>
    </row>
    <row r="86" spans="1:18" x14ac:dyDescent="0.25">
      <c r="A86" s="39" t="s">
        <v>530</v>
      </c>
      <c r="B86" s="21">
        <v>2543</v>
      </c>
      <c r="C86" s="40">
        <f>'Biomass Data Assumptions'!B54*B86</f>
        <v>4323.0999999999995</v>
      </c>
      <c r="D86" s="40">
        <f>C86*'Energy Content Assumptions'!C16</f>
        <v>3674.6349999999993</v>
      </c>
      <c r="E86" s="41"/>
      <c r="F86" s="41"/>
      <c r="G86" s="41"/>
      <c r="H86" s="36"/>
      <c r="I86" s="36"/>
      <c r="J86" s="36"/>
      <c r="K86" s="36"/>
      <c r="L86" s="36"/>
      <c r="M86" s="36"/>
      <c r="N86" s="36"/>
      <c r="O86" s="36"/>
      <c r="P86" s="36"/>
      <c r="Q86" s="36"/>
      <c r="R86" s="36"/>
    </row>
    <row r="87" spans="1:18" x14ac:dyDescent="0.25">
      <c r="A87" s="39" t="s">
        <v>522</v>
      </c>
      <c r="B87" s="21">
        <f>442+0</f>
        <v>442</v>
      </c>
      <c r="C87" s="40">
        <f>'Biomass Data Assumptions'!B55*B87</f>
        <v>773.5</v>
      </c>
      <c r="D87" s="40">
        <f>C87*'Energy Content Assumptions'!C17</f>
        <v>657.47500000000002</v>
      </c>
      <c r="E87" s="41" t="s">
        <v>601</v>
      </c>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378</v>
      </c>
      <c r="C97" s="41">
        <f>ROUND('Biomass Data Assumptions'!$B$60/1000*B97,0)</f>
        <v>378</v>
      </c>
      <c r="D97" s="41">
        <f>'Biomass Data Assumptions'!$C$60*C97</f>
        <v>12693240</v>
      </c>
      <c r="E97" s="41">
        <f>('Biomass Data Assumptions'!$D$60*'Energy Content Assumptions'!$C$44*D97)/2000</f>
        <v>152.31888000000001</v>
      </c>
      <c r="F97" s="41">
        <f>('Biomass Data Assumptions'!$E$60*B97*365)/2000</f>
        <v>275.94</v>
      </c>
      <c r="G97" s="41">
        <f>F97+E97</f>
        <v>428.25887999999998</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10</v>
      </c>
      <c r="C100" s="41">
        <f>ROUND('Biomass Data Assumptions'!B62/1000*B100,0)</f>
        <v>4</v>
      </c>
      <c r="D100" s="41">
        <f>'Biomass Data Assumptions'!C62*C100</f>
        <v>116800</v>
      </c>
      <c r="E100" s="41">
        <f>('Biomass Data Assumptions'!D62*'Energy Content Assumptions'!C46*D100)/2000</f>
        <v>5.2560000000000002</v>
      </c>
      <c r="F100" s="41">
        <f>('Biomass Data Assumptions'!E62*B100*365)/2000</f>
        <v>9.125</v>
      </c>
      <c r="G100" s="41">
        <f>F100+E100</f>
        <v>14.381</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22</v>
      </c>
      <c r="C102" s="41">
        <f>ROUND('Biomass Data Assumptions'!B64/1000*B102,0)</f>
        <v>31</v>
      </c>
      <c r="D102" s="41">
        <f>'Biomass Data Assumptions'!C64*C102</f>
        <v>1255965</v>
      </c>
      <c r="E102" s="41">
        <f>('Biomass Data Assumptions'!D64*'Energy Content Assumptions'!C48*D102)/2000</f>
        <v>56.518424999999993</v>
      </c>
      <c r="F102" s="41">
        <f>'Biomass Data Assumptions'!E64*B102*365/2000</f>
        <v>40.15</v>
      </c>
      <c r="G102" s="41">
        <f>F102+E102</f>
        <v>96.668424999999985</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v>32</v>
      </c>
      <c r="C104" s="41">
        <f>SUM(C100:C103)</f>
        <v>35</v>
      </c>
      <c r="D104" s="41">
        <f>SUM(D100:D103)</f>
        <v>1372765</v>
      </c>
      <c r="E104" s="41">
        <f>SUM(E100:E103)</f>
        <v>61.774424999999994</v>
      </c>
      <c r="F104" s="41">
        <f>SUM(F100:F103)</f>
        <v>49.274999999999999</v>
      </c>
      <c r="G104" s="41">
        <f>SUM(G100:G103)</f>
        <v>111.04942499999999</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915</v>
      </c>
      <c r="C106" s="41">
        <f>ROUND('Biomass Data Assumptions'!B66/1000*B106,0)</f>
        <v>915</v>
      </c>
      <c r="D106" s="41">
        <f>'Biomass Data Assumptions'!C66*C106</f>
        <v>18535612.5</v>
      </c>
      <c r="E106" s="41">
        <f>('Biomass Data Assumptions'!D66*'Energy Content Assumptions'!C50*D106)/2000</f>
        <v>648.74643750000007</v>
      </c>
      <c r="F106" s="41">
        <f>'Biomass Data Assumptions'!E66*B106*365/2000</f>
        <v>2504.8125</v>
      </c>
      <c r="G106" s="41">
        <f>F106+E106</f>
        <v>3153.5589375</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1038</v>
      </c>
      <c r="C108" s="41">
        <f>ROUND('Biomass Data Assumptions'!B67/1000*B108,0)</f>
        <v>104</v>
      </c>
      <c r="D108" s="41">
        <f>'Biomass Data Assumptions'!C67*C108</f>
        <v>1556360</v>
      </c>
      <c r="E108" s="41">
        <f>('Biomass Data Assumptions'!D67*'Energy Content Assumptions'!C51*D108)/2000</f>
        <v>38.908999999999999</v>
      </c>
      <c r="F108" s="41">
        <f>'Biomass Data Assumptions'!E67*B108*365/2000</f>
        <v>189.435</v>
      </c>
      <c r="G108" s="41">
        <f>F108+E108</f>
        <v>228.34399999999999</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101</v>
      </c>
      <c r="C110" s="41">
        <f>ROUND('Biomass Data Assumptions'!B68/1000*B110,0)</f>
        <v>10</v>
      </c>
      <c r="D110" s="41">
        <f>'Biomass Data Assumptions'!C68*C110</f>
        <v>149650</v>
      </c>
      <c r="E110" s="41">
        <f>('Biomass Data Assumptions'!D68*'Energy Content Assumptions'!C52*D110)/2000</f>
        <v>3.74125</v>
      </c>
      <c r="F110" s="41">
        <f>'Biomass Data Assumptions'!E68*B110*365/2000</f>
        <v>18.432500000000001</v>
      </c>
      <c r="G110" s="41">
        <f>F110+E110</f>
        <v>22.173750000000002</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t="2.25" customHeight="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5</v>
      </c>
      <c r="C115" s="41">
        <f>ROUND('Biomass Data Assumptions'!$B$71/1000*B115,0)</f>
        <v>2</v>
      </c>
      <c r="D115" s="41">
        <f>'Biomass Data Assumptions'!$C$71*C115</f>
        <v>34310</v>
      </c>
      <c r="E115" s="41">
        <f>('Biomass Data Assumptions'!$D$71*'Energy Content Assumptions'!$C$55*D115)/2000</f>
        <v>0.85775000000000001</v>
      </c>
      <c r="F115" s="41">
        <f>'Biomass Data Assumptions'!$E$71*B115*365/2000</f>
        <v>0</v>
      </c>
      <c r="G115" s="41">
        <f>F115+E115</f>
        <v>0.85775000000000001</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489+467+2348</f>
        <v>3304</v>
      </c>
      <c r="C117" s="41">
        <f>ROUND('Biomass Data Assumptions'!B72/1000*B117,0)</f>
        <v>17</v>
      </c>
      <c r="D117" s="41">
        <f>'Biomass Data Assumptions'!C72*C117</f>
        <v>310250</v>
      </c>
      <c r="E117" s="41">
        <f>('Biomass Data Assumptions'!D72*'Energy Content Assumptions'!C56*D117)/2000</f>
        <v>30.249375000000001</v>
      </c>
      <c r="F117" s="41">
        <f>'Biomass Data Assumptions'!E72*B117*365/2000</f>
        <v>0</v>
      </c>
      <c r="G117" s="41">
        <f>F117+E117</f>
        <v>30.249375000000001</v>
      </c>
      <c r="H117" s="36" t="s">
        <v>602</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16</v>
      </c>
      <c r="C119" s="41">
        <f>ROUND('Biomass Data Assumptions'!B73/1000*B119,0)</f>
        <v>0</v>
      </c>
      <c r="D119" s="41">
        <f>'Biomass Data Assumptions'!C73*C119</f>
        <v>0</v>
      </c>
      <c r="E119" s="41">
        <f>('Biomass Data Assumptions'!D73*'Energy Content Assumptions'!C57*D119)/2000</f>
        <v>0</v>
      </c>
      <c r="F119" s="41">
        <f>'Biomass Data Assumptions'!E73*B119*365/2000</f>
        <v>0.29199999999999998</v>
      </c>
      <c r="G119" s="41">
        <f>F119+E119</f>
        <v>0.29199999999999998</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5789</v>
      </c>
      <c r="C121" s="48">
        <f t="shared" si="14"/>
        <v>1461</v>
      </c>
      <c r="D121" s="48">
        <f t="shared" si="14"/>
        <v>34652187.5</v>
      </c>
      <c r="E121" s="48">
        <f t="shared" si="14"/>
        <v>936.59711750000008</v>
      </c>
      <c r="F121" s="48">
        <f t="shared" si="14"/>
        <v>3038.1869999999999</v>
      </c>
      <c r="G121" s="48">
        <f t="shared" si="14"/>
        <v>3974.7841174999999</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31924.71</v>
      </c>
      <c r="C124" s="543">
        <f>B124*'Energy Content Assumptions'!C33</f>
        <v>28732.239000000001</v>
      </c>
      <c r="D124" s="36"/>
      <c r="E124" s="36"/>
      <c r="F124" s="36"/>
      <c r="G124" s="36"/>
      <c r="H124" s="36"/>
      <c r="I124" s="36"/>
      <c r="J124" s="36"/>
      <c r="K124" s="36"/>
      <c r="L124" s="36"/>
      <c r="M124" s="36"/>
      <c r="N124" s="36"/>
      <c r="O124" s="36"/>
      <c r="P124" s="36"/>
      <c r="Q124" s="36"/>
      <c r="R124" s="36"/>
    </row>
    <row r="125" spans="1:18" x14ac:dyDescent="0.25">
      <c r="A125" s="50" t="s">
        <v>556</v>
      </c>
      <c r="B125" s="87">
        <v>7432.12</v>
      </c>
      <c r="C125" s="543">
        <f>B125*'Energy Content Assumptions'!C34</f>
        <v>6688.9080000000004</v>
      </c>
      <c r="D125" s="36"/>
      <c r="E125" s="36"/>
      <c r="F125" s="36"/>
      <c r="G125" s="36"/>
      <c r="H125" s="36"/>
      <c r="I125" s="36"/>
      <c r="J125" s="36"/>
      <c r="K125" s="36"/>
      <c r="L125" s="36"/>
      <c r="M125" s="36"/>
      <c r="N125" s="36"/>
      <c r="O125" s="36"/>
      <c r="P125" s="36"/>
      <c r="Q125" s="36"/>
      <c r="R125" s="36"/>
    </row>
    <row r="126" spans="1:18" x14ac:dyDescent="0.25">
      <c r="A126" s="50" t="s">
        <v>557</v>
      </c>
      <c r="B126" s="87">
        <v>11321.85</v>
      </c>
      <c r="C126" s="543">
        <f>B126*'Energy Content Assumptions'!C35</f>
        <v>10189.665000000001</v>
      </c>
      <c r="D126" s="36"/>
      <c r="E126" s="36"/>
      <c r="F126" s="36"/>
      <c r="G126" s="36"/>
      <c r="H126" s="36"/>
      <c r="I126" s="36"/>
      <c r="J126" s="36"/>
      <c r="K126" s="36"/>
      <c r="L126" s="36"/>
      <c r="M126" s="36"/>
      <c r="N126" s="36"/>
      <c r="O126" s="36"/>
      <c r="P126" s="36"/>
      <c r="Q126" s="36"/>
      <c r="R126" s="36"/>
    </row>
    <row r="127" spans="1:18" x14ac:dyDescent="0.25">
      <c r="A127" s="50" t="s">
        <v>558</v>
      </c>
      <c r="B127" s="87">
        <v>5157.13</v>
      </c>
      <c r="C127" s="543">
        <f>B127*'Energy Content Assumptions'!C36</f>
        <v>4641.4170000000004</v>
      </c>
      <c r="D127" s="36"/>
      <c r="E127" s="36"/>
      <c r="F127" s="36"/>
      <c r="G127" s="36"/>
      <c r="H127" s="36"/>
      <c r="I127" s="36"/>
      <c r="J127" s="36"/>
      <c r="K127" s="36"/>
      <c r="L127" s="36"/>
      <c r="M127" s="36"/>
      <c r="N127" s="36"/>
      <c r="O127" s="36"/>
      <c r="P127" s="36"/>
      <c r="Q127" s="36"/>
      <c r="R127" s="36"/>
    </row>
    <row r="128" spans="1:18" x14ac:dyDescent="0.25">
      <c r="A128" s="50" t="s">
        <v>559</v>
      </c>
      <c r="B128" s="87">
        <v>40896.47</v>
      </c>
      <c r="C128" s="543">
        <f>B128*'Energy Content Assumptions'!C21</f>
        <v>20448.235000000001</v>
      </c>
      <c r="D128" s="36"/>
      <c r="E128" s="36"/>
      <c r="F128" s="36"/>
      <c r="G128" s="36"/>
      <c r="H128" s="36"/>
      <c r="I128" s="36"/>
      <c r="J128" s="36"/>
      <c r="K128" s="36"/>
      <c r="L128" s="36"/>
      <c r="M128" s="36"/>
      <c r="N128" s="36"/>
      <c r="O128" s="36"/>
      <c r="P128" s="36"/>
      <c r="Q128" s="36"/>
      <c r="R128" s="36"/>
    </row>
    <row r="129" spans="1:18" x14ac:dyDescent="0.25">
      <c r="A129" s="50" t="s">
        <v>560</v>
      </c>
      <c r="B129" s="87">
        <v>1524.57</v>
      </c>
      <c r="C129" s="543">
        <f>B129*'Energy Content Assumptions'!C22</f>
        <v>508.18999999999994</v>
      </c>
      <c r="D129" s="36"/>
      <c r="E129" s="36"/>
      <c r="F129" s="36"/>
      <c r="G129" s="36"/>
      <c r="H129" s="36"/>
      <c r="I129" s="36"/>
      <c r="J129" s="36"/>
      <c r="K129" s="36"/>
      <c r="L129" s="36"/>
      <c r="M129" s="36"/>
      <c r="N129" s="36"/>
      <c r="O129" s="36"/>
      <c r="P129" s="36"/>
      <c r="Q129" s="36"/>
      <c r="R129" s="36"/>
    </row>
    <row r="130" spans="1:18" x14ac:dyDescent="0.25">
      <c r="A130" s="50" t="s">
        <v>561</v>
      </c>
      <c r="B130" s="87">
        <v>31605.86</v>
      </c>
      <c r="C130" s="543">
        <f>B130*'Energy Content Assumptions'!C23</f>
        <v>10535.286666666667</v>
      </c>
      <c r="D130" s="36"/>
      <c r="E130" s="36"/>
      <c r="F130" s="36"/>
      <c r="G130" s="36"/>
      <c r="H130" s="36"/>
      <c r="I130" s="36"/>
      <c r="J130" s="36"/>
      <c r="K130" s="36"/>
      <c r="L130" s="36"/>
      <c r="M130" s="36"/>
      <c r="N130" s="36"/>
      <c r="O130" s="36"/>
      <c r="P130" s="36"/>
      <c r="Q130" s="36"/>
      <c r="R130" s="36"/>
    </row>
    <row r="131" spans="1:18" x14ac:dyDescent="0.25">
      <c r="A131" s="50" t="s">
        <v>562</v>
      </c>
      <c r="B131" s="87">
        <v>2943.38</v>
      </c>
      <c r="C131" s="543">
        <f>B131*'Energy Content Assumptions'!C24</f>
        <v>1471.69</v>
      </c>
      <c r="D131" s="36"/>
      <c r="E131" s="36"/>
      <c r="F131" s="36"/>
      <c r="G131" s="36"/>
      <c r="H131" s="36"/>
      <c r="I131" s="36"/>
      <c r="J131" s="36"/>
      <c r="K131" s="36"/>
      <c r="L131" s="36"/>
      <c r="M131" s="36"/>
      <c r="N131" s="36"/>
      <c r="O131" s="36"/>
      <c r="P131" s="36"/>
      <c r="Q131" s="36"/>
      <c r="R131" s="36"/>
    </row>
    <row r="132" spans="1:18" x14ac:dyDescent="0.25">
      <c r="A132" s="50" t="s">
        <v>563</v>
      </c>
      <c r="B132" s="87">
        <v>5214.92</v>
      </c>
      <c r="C132" s="543">
        <f>B132*'Energy Content Assumptions'!C31</f>
        <v>1303.73</v>
      </c>
      <c r="D132" s="36"/>
      <c r="E132" s="36"/>
      <c r="F132" s="36"/>
      <c r="G132" s="36"/>
      <c r="H132" s="36"/>
      <c r="I132" s="36"/>
      <c r="J132" s="36"/>
      <c r="K132" s="36"/>
      <c r="L132" s="36"/>
      <c r="M132" s="36"/>
      <c r="N132" s="36"/>
      <c r="O132" s="36"/>
      <c r="P132" s="36"/>
      <c r="Q132" s="36"/>
      <c r="R132" s="36"/>
    </row>
    <row r="133" spans="1:18" x14ac:dyDescent="0.25">
      <c r="A133" s="50" t="s">
        <v>564</v>
      </c>
      <c r="B133" s="87">
        <v>52680.83</v>
      </c>
      <c r="C133" s="543">
        <f>B133*'Energy Content Assumptions'!C19</f>
        <v>47412.747000000003</v>
      </c>
      <c r="D133" s="36"/>
      <c r="E133" s="36"/>
      <c r="F133" s="36"/>
      <c r="G133" s="36"/>
      <c r="H133" s="36"/>
      <c r="I133" s="36"/>
      <c r="J133" s="36"/>
      <c r="K133" s="36"/>
      <c r="L133" s="36"/>
      <c r="M133" s="36"/>
      <c r="N133" s="36"/>
      <c r="O133" s="36"/>
      <c r="P133" s="36"/>
      <c r="Q133" s="36"/>
      <c r="R133" s="36"/>
    </row>
    <row r="134" spans="1:18" x14ac:dyDescent="0.25">
      <c r="A134" s="50" t="s">
        <v>565</v>
      </c>
      <c r="B134" s="87">
        <v>23156.14</v>
      </c>
      <c r="C134" s="543">
        <f>B134*'Energy Content Assumptions'!C32</f>
        <v>18524.912</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Assumptions'!$M$17</f>
        <v>398031.25</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Assumptions'!$F$17</f>
        <v>235889.53</v>
      </c>
      <c r="C138" s="543">
        <f>B138*'Energy Content Assumptions'!$C$28</f>
        <v>117944.765</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Assumptions'!$H$17</f>
        <v>120.7</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Assumptions'!$I$17</f>
        <v>235768.83</v>
      </c>
      <c r="C140" s="543">
        <f>B140*'Energy Content Assumptions'!$C$28</f>
        <v>117884.41499999999</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Assumptions'!J17,'Biomass Data Assumptions'!F17*'Biomass Data Assumptions'!I41)</f>
        <v>37298.628905999998</v>
      </c>
      <c r="C141" s="543">
        <f>B141*'Energy Content Assumptions'!C26</f>
        <v>11189.588671799998</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Assumptions'!K17,'Biomass Data Assumptions'!F17*'Biomass Data Assumptions'!I42)</f>
        <v>45857.037434999998</v>
      </c>
      <c r="C142" s="543">
        <f>B142*'Energy Content Assumptions'!C27</f>
        <v>41271.333691499996</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Assumptions'!L17,'Biomass Data Assumptions'!F17*'Biomass Data Assumptions'!I43)</f>
        <v>63492.545918999989</v>
      </c>
      <c r="C143" s="543">
        <f>B143*'Energy Content Assumptions'!$C$28</f>
        <v>31746.272959499995</v>
      </c>
      <c r="D143" s="547" t="s">
        <v>1064</v>
      </c>
      <c r="E143" s="36"/>
      <c r="F143" s="36"/>
      <c r="G143" s="36"/>
      <c r="H143" s="36"/>
      <c r="I143" s="36"/>
      <c r="J143" s="36"/>
      <c r="K143" s="36"/>
      <c r="L143" s="36"/>
      <c r="M143" s="36"/>
      <c r="N143" s="36"/>
      <c r="O143" s="36"/>
      <c r="P143" s="36"/>
      <c r="Q143" s="36"/>
      <c r="R143" s="36"/>
    </row>
    <row r="144" spans="1:18" x14ac:dyDescent="0.25">
      <c r="A144" s="50" t="s">
        <v>463</v>
      </c>
      <c r="B144" s="87">
        <v>64865.99</v>
      </c>
      <c r="C144" s="543">
        <f>B144*'Energy Content Assumptions'!C29</f>
        <v>51892.792000000001</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20757.116800000003</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Assumptions'!R17/2000</f>
        <v>1612.6572000000001</v>
      </c>
      <c r="C148" s="1239">
        <f>B148*'Energy Content Assumptions'!C39</f>
        <v>1370.7586200000001</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Assumptions'!S17/2000</f>
        <v>2450.1394049999999</v>
      </c>
      <c r="C149" s="1239">
        <f>B149*'Energy Content Assumptions'!C40</f>
        <v>122.50697024999999</v>
      </c>
      <c r="D149" s="150" t="s">
        <v>1570</v>
      </c>
      <c r="E149" s="36"/>
      <c r="F149" s="36"/>
      <c r="G149" s="36"/>
      <c r="H149" s="36"/>
      <c r="I149" s="36"/>
      <c r="J149" s="36"/>
      <c r="K149" s="36"/>
      <c r="L149" s="36"/>
      <c r="M149" s="36"/>
      <c r="N149" s="36"/>
      <c r="O149" s="36"/>
      <c r="P149" s="36"/>
      <c r="Q149" s="36"/>
      <c r="R149" s="36"/>
    </row>
    <row r="150" spans="1:18" x14ac:dyDescent="0.25">
      <c r="A150" s="1240"/>
      <c r="B150" s="1235"/>
      <c r="C150" s="1237"/>
      <c r="D150" s="150"/>
      <c r="E150" s="36"/>
      <c r="F150" s="36"/>
      <c r="G150" s="36"/>
      <c r="H150" s="36"/>
      <c r="I150" s="36"/>
      <c r="J150" s="36"/>
      <c r="K150" s="36"/>
      <c r="L150" s="36"/>
      <c r="M150" s="36"/>
      <c r="N150" s="36"/>
      <c r="O150" s="36"/>
      <c r="P150" s="36"/>
      <c r="Q150" s="36"/>
      <c r="R150" s="36"/>
    </row>
    <row r="151" spans="1:18" x14ac:dyDescent="0.25">
      <c r="A151" s="61" t="s">
        <v>464</v>
      </c>
      <c r="B151" s="61" t="s">
        <v>465</v>
      </c>
      <c r="C151" s="61" t="s">
        <v>466</v>
      </c>
      <c r="D151" s="36" t="s">
        <v>480</v>
      </c>
      <c r="E151" s="36"/>
      <c r="F151" s="36"/>
      <c r="G151" s="36"/>
      <c r="H151" s="36"/>
      <c r="I151" s="36"/>
      <c r="J151" s="36"/>
      <c r="K151" s="36"/>
      <c r="L151" s="36"/>
      <c r="M151" s="36"/>
      <c r="N151" s="36"/>
      <c r="O151" s="36"/>
      <c r="P151" s="36"/>
      <c r="Q151" s="36"/>
      <c r="R151" s="36"/>
    </row>
    <row r="152" spans="1:18" x14ac:dyDescent="0.25">
      <c r="A152" s="61" t="s">
        <v>467</v>
      </c>
      <c r="B152" s="61" t="s">
        <v>468</v>
      </c>
      <c r="C152" s="61">
        <v>840</v>
      </c>
      <c r="D152" s="36"/>
      <c r="E152" s="36"/>
      <c r="F152" s="36"/>
      <c r="G152" s="36"/>
      <c r="H152" s="36"/>
      <c r="I152" s="36"/>
      <c r="J152" s="36"/>
      <c r="K152" s="36"/>
      <c r="L152" s="36"/>
      <c r="M152" s="36"/>
      <c r="N152" s="36"/>
      <c r="O152" s="36"/>
      <c r="P152" s="36"/>
      <c r="Q152" s="36"/>
      <c r="R152" s="36"/>
    </row>
    <row r="153" spans="1:18" x14ac:dyDescent="0.25">
      <c r="A153" s="61" t="s">
        <v>469</v>
      </c>
      <c r="B153" s="61" t="s">
        <v>470</v>
      </c>
      <c r="C153" s="61">
        <v>1260</v>
      </c>
      <c r="D153" s="36"/>
      <c r="E153" s="36"/>
      <c r="F153" s="36"/>
      <c r="G153" s="36"/>
      <c r="H153" s="36"/>
      <c r="I153" s="36"/>
      <c r="J153" s="36"/>
      <c r="K153" s="36"/>
      <c r="L153" s="36"/>
      <c r="M153" s="36"/>
      <c r="N153" s="36"/>
      <c r="O153" s="36"/>
      <c r="P153" s="36"/>
      <c r="Q153" s="36"/>
      <c r="R153" s="36"/>
    </row>
    <row r="154" spans="1:18" x14ac:dyDescent="0.25">
      <c r="A154" s="61" t="s">
        <v>471</v>
      </c>
      <c r="B154" s="61" t="s">
        <v>472</v>
      </c>
      <c r="C154" s="61">
        <v>30480</v>
      </c>
      <c r="D154" s="36"/>
      <c r="E154" s="36"/>
      <c r="F154" s="36"/>
      <c r="G154" s="36"/>
      <c r="H154" s="36"/>
      <c r="I154" s="36"/>
      <c r="J154" s="36"/>
      <c r="K154" s="36"/>
      <c r="L154" s="36"/>
      <c r="M154" s="36"/>
      <c r="N154" s="36"/>
      <c r="O154" s="36"/>
      <c r="P154" s="36"/>
      <c r="Q154" s="36"/>
      <c r="R154" s="36"/>
    </row>
    <row r="155" spans="1:18" x14ac:dyDescent="0.25">
      <c r="A155" s="61" t="s">
        <v>473</v>
      </c>
      <c r="B155" s="61" t="s">
        <v>474</v>
      </c>
      <c r="C155" s="61">
        <v>4680</v>
      </c>
      <c r="D155" s="36"/>
      <c r="E155" s="36"/>
      <c r="F155" s="36"/>
      <c r="G155" s="36"/>
      <c r="H155" s="36"/>
      <c r="I155" s="36"/>
      <c r="J155" s="36"/>
      <c r="K155" s="36"/>
      <c r="L155" s="36"/>
      <c r="M155" s="36"/>
      <c r="N155" s="36"/>
      <c r="O155" s="36"/>
      <c r="P155" s="36"/>
      <c r="Q155" s="36"/>
      <c r="R155" s="36"/>
    </row>
    <row r="156" spans="1:18" x14ac:dyDescent="0.25">
      <c r="A156" s="61" t="s">
        <v>475</v>
      </c>
      <c r="B156" s="61"/>
      <c r="C156" s="61"/>
      <c r="D156" s="36"/>
      <c r="E156" s="36"/>
      <c r="F156" s="36"/>
      <c r="G156" s="36"/>
      <c r="H156" s="36"/>
      <c r="I156" s="36"/>
      <c r="J156" s="36"/>
      <c r="K156" s="36"/>
      <c r="L156" s="36"/>
      <c r="M156" s="36"/>
      <c r="N156" s="36"/>
      <c r="O156" s="36"/>
      <c r="P156" s="36"/>
      <c r="Q156" s="36"/>
      <c r="R156" s="36"/>
    </row>
    <row r="157" spans="1:18" x14ac:dyDescent="0.25">
      <c r="A157" s="61" t="s">
        <v>476</v>
      </c>
      <c r="B157" s="61"/>
      <c r="C157" s="61">
        <v>1253.32</v>
      </c>
      <c r="D157" s="36"/>
      <c r="E157" s="36"/>
      <c r="F157" s="36"/>
      <c r="G157" s="36"/>
      <c r="H157" s="36"/>
      <c r="I157" s="36"/>
      <c r="J157" s="36"/>
      <c r="K157" s="36"/>
      <c r="L157" s="36"/>
      <c r="M157" s="36"/>
      <c r="N157" s="36"/>
      <c r="O157" s="36"/>
      <c r="P157" s="36"/>
      <c r="Q157" s="36"/>
      <c r="R157" s="36"/>
    </row>
    <row r="158" spans="1:18" x14ac:dyDescent="0.25">
      <c r="A158" s="61" t="s">
        <v>477</v>
      </c>
      <c r="B158" s="61"/>
      <c r="C158" s="61">
        <v>1089.32</v>
      </c>
      <c r="D158" s="36"/>
      <c r="E158" s="36"/>
      <c r="F158" s="36"/>
      <c r="G158" s="36"/>
      <c r="H158" s="36"/>
      <c r="I158" s="36"/>
      <c r="J158" s="36"/>
      <c r="K158" s="36"/>
      <c r="L158" s="36"/>
      <c r="M158" s="36"/>
      <c r="N158" s="36"/>
      <c r="O158" s="36"/>
      <c r="P158" s="36"/>
      <c r="Q158" s="36"/>
      <c r="R158" s="36"/>
    </row>
    <row r="159" spans="1:18" x14ac:dyDescent="0.25">
      <c r="A159" s="61" t="s">
        <v>478</v>
      </c>
      <c r="B159" s="61"/>
      <c r="C159" s="61">
        <v>2927</v>
      </c>
      <c r="D159" s="36"/>
      <c r="E159" s="36"/>
      <c r="F159" s="36"/>
      <c r="G159" s="36"/>
      <c r="H159" s="36"/>
      <c r="I159" s="36"/>
      <c r="J159" s="36"/>
      <c r="K159" s="36"/>
      <c r="L159" s="36"/>
      <c r="M159" s="36"/>
      <c r="N159" s="36"/>
      <c r="O159" s="36"/>
      <c r="P159" s="36"/>
      <c r="Q159" s="36"/>
      <c r="R159" s="36"/>
    </row>
    <row r="160" spans="1:18" x14ac:dyDescent="0.25">
      <c r="A160" s="61" t="s">
        <v>479</v>
      </c>
      <c r="B160" s="61"/>
      <c r="C160" s="39">
        <v>42529.64</v>
      </c>
      <c r="D160" s="36"/>
      <c r="E160" s="36"/>
      <c r="F160" s="36"/>
      <c r="G160" s="36"/>
      <c r="H160" s="36"/>
      <c r="I160" s="36"/>
      <c r="J160" s="36"/>
      <c r="K160" s="36"/>
      <c r="L160" s="36"/>
      <c r="M160" s="36"/>
      <c r="N160" s="36"/>
      <c r="O160" s="36"/>
      <c r="P160" s="36"/>
      <c r="Q160" s="36"/>
      <c r="R160" s="36"/>
    </row>
    <row r="161" spans="1:18" x14ac:dyDescent="0.25">
      <c r="A161" s="457"/>
      <c r="B161" s="457"/>
      <c r="C161" s="457"/>
      <c r="D161" s="457"/>
      <c r="E161" s="36"/>
      <c r="F161" s="36"/>
      <c r="G161" s="36"/>
      <c r="H161" s="36"/>
      <c r="I161" s="36"/>
      <c r="J161" s="36"/>
      <c r="K161" s="36"/>
      <c r="L161" s="36"/>
      <c r="M161" s="36"/>
      <c r="N161" s="36"/>
      <c r="O161" s="36"/>
      <c r="P161" s="36"/>
      <c r="Q161" s="36"/>
      <c r="R161" s="36"/>
    </row>
    <row r="162" spans="1:18" x14ac:dyDescent="0.25">
      <c r="A162" s="457"/>
      <c r="B162" s="457"/>
      <c r="C162" s="457"/>
      <c r="D162" s="457"/>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A171" s="36"/>
      <c r="B171" s="36"/>
      <c r="C171" s="36"/>
      <c r="D171" s="36"/>
      <c r="E171" s="36"/>
      <c r="F171" s="36"/>
      <c r="G171" s="36"/>
      <c r="H171" s="36"/>
      <c r="I171" s="36"/>
      <c r="J171" s="36"/>
      <c r="K171" s="36"/>
      <c r="L171" s="36"/>
      <c r="M171" s="36"/>
      <c r="N171" s="36"/>
      <c r="O171" s="36"/>
      <c r="P171" s="36"/>
      <c r="Q171" s="36"/>
      <c r="R171" s="36"/>
    </row>
    <row r="172" spans="1:18" x14ac:dyDescent="0.25">
      <c r="A172" s="36"/>
      <c r="B172" s="36"/>
      <c r="C172" s="36"/>
      <c r="D172" s="36"/>
      <c r="E172" s="36"/>
      <c r="F172" s="36"/>
      <c r="G172" s="36"/>
      <c r="H172" s="36"/>
      <c r="I172" s="36"/>
      <c r="J172" s="36"/>
      <c r="K172" s="36"/>
      <c r="L172" s="36"/>
      <c r="M172" s="36"/>
      <c r="N172" s="36"/>
      <c r="O172" s="36"/>
      <c r="P172" s="36"/>
      <c r="Q172" s="36"/>
      <c r="R172" s="36"/>
    </row>
    <row r="173" spans="1:18" x14ac:dyDescent="0.25">
      <c r="A173" s="36"/>
      <c r="B173" s="36"/>
      <c r="C173" s="36"/>
      <c r="D173" s="36"/>
      <c r="E173" s="36"/>
      <c r="F173" s="36"/>
      <c r="G173" s="36"/>
      <c r="H173" s="36"/>
      <c r="I173" s="36"/>
      <c r="J173" s="36"/>
      <c r="K173" s="36"/>
      <c r="L173" s="36"/>
      <c r="M173" s="36"/>
      <c r="N173" s="36"/>
      <c r="O173" s="36"/>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row r="200" spans="16:18" x14ac:dyDescent="0.25">
      <c r="P200" s="36"/>
      <c r="Q200" s="36"/>
      <c r="R200" s="36"/>
    </row>
    <row r="201" spans="16:18" x14ac:dyDescent="0.25">
      <c r="P201" s="36"/>
      <c r="Q201" s="36"/>
      <c r="R201" s="36"/>
    </row>
    <row r="202" spans="16:18" x14ac:dyDescent="0.25">
      <c r="P202" s="36"/>
      <c r="Q202" s="36"/>
      <c r="R202"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S199"/>
  <sheetViews>
    <sheetView topLeftCell="A107"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440</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164.55600000000001</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476.22120000000007</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8694</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178.2</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9512.9772000000012</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219.29999999999998</v>
      </c>
      <c r="D15" s="294">
        <f>E15*'Conversion Tables'!C14</f>
        <v>2760.0220799999997</v>
      </c>
      <c r="E15" s="294">
        <f>C15*'Prac. Rec. Assumptions'!B11</f>
        <v>175.44</v>
      </c>
      <c r="F15" s="294">
        <f>$E15</f>
        <v>175.44</v>
      </c>
      <c r="G15" s="294">
        <f>$E15</f>
        <v>175.44</v>
      </c>
      <c r="H15" s="294">
        <f>$E15</f>
        <v>175.44</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1489.8374999999999</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5278.5</v>
      </c>
      <c r="D17" s="294">
        <f>E17*'Conversion Tables'!C16</f>
        <v>70585.157699999982</v>
      </c>
      <c r="E17" s="294">
        <f>C17*'Prac. Rec. Assumptions'!B13</f>
        <v>4486.7249999999995</v>
      </c>
      <c r="F17" s="294">
        <f t="shared" si="2"/>
        <v>4486.7249999999995</v>
      </c>
      <c r="G17" s="294">
        <f t="shared" si="2"/>
        <v>4486.7249999999995</v>
      </c>
      <c r="H17" s="294">
        <f t="shared" si="2"/>
        <v>4486.7249999999995</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1079.1199999999999</v>
      </c>
      <c r="D18" s="294">
        <f>E18*'Conversion Tables'!C17</f>
        <v>12732.536879999998</v>
      </c>
      <c r="E18" s="294">
        <f>C18*'Prac. Rec. Assumptions'!B14</f>
        <v>809.33999999999992</v>
      </c>
      <c r="F18" s="294">
        <f t="shared" si="2"/>
        <v>809.33999999999992</v>
      </c>
      <c r="G18" s="294">
        <f t="shared" si="2"/>
        <v>809.33999999999992</v>
      </c>
      <c r="H18" s="294">
        <f t="shared" si="2"/>
        <v>809.33999999999992</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476</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921.90999999999985</v>
      </c>
      <c r="D20" s="294">
        <f>E20*'Conversion Tables'!C19</f>
        <v>7190.8979999999983</v>
      </c>
      <c r="E20" s="294">
        <f>C20*'Prac. Rec. Assumptions'!B16</f>
        <v>460.95499999999993</v>
      </c>
      <c r="F20" s="294">
        <f t="shared" si="2"/>
        <v>460.95499999999993</v>
      </c>
      <c r="G20" s="294">
        <f t="shared" si="2"/>
        <v>460.95499999999993</v>
      </c>
      <c r="H20" s="294">
        <f t="shared" si="2"/>
        <v>460.95499999999993</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171.0625</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Assumptions'!P18*1000*'Energy Content Assumptions'!C18</f>
        <v>25339</v>
      </c>
      <c r="D22" s="294">
        <f>E22*'Conversion Tables'!C21</f>
        <v>197644.19999999998</v>
      </c>
      <c r="E22" s="294">
        <f>C22*'Prac. Rec. Assumptions'!B18</f>
        <v>12669.5</v>
      </c>
      <c r="F22" s="294">
        <f t="shared" si="2"/>
        <v>12669.5</v>
      </c>
      <c r="G22" s="294">
        <f t="shared" si="2"/>
        <v>12669.5</v>
      </c>
      <c r="H22" s="294">
        <f t="shared" si="2"/>
        <v>12669.5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0</v>
      </c>
      <c r="D23" s="294">
        <f>E23*'Conversion Tables'!C22</f>
        <v>0</v>
      </c>
      <c r="E23" s="294">
        <f>C23*'Prac. Rec. Assumptions'!B19</f>
        <v>0</v>
      </c>
      <c r="F23" s="297">
        <f t="shared" si="2"/>
        <v>0</v>
      </c>
      <c r="G23" s="297">
        <f t="shared" si="2"/>
        <v>0</v>
      </c>
      <c r="H23" s="297">
        <f t="shared" si="2"/>
        <v>0</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25678.105</v>
      </c>
      <c r="D25" s="294">
        <f>E25*'Conversion Tables'!C24</f>
        <v>454502.45849999995</v>
      </c>
      <c r="E25" s="294">
        <f>C25*'Prac. Rec. Assumptions'!B21</f>
        <v>25678.105</v>
      </c>
      <c r="F25" s="294">
        <f>($C25*(1+'Biomass Data Assumptions'!G$103))*'Prac. Rec. Assumptions'!$B21</f>
        <v>26315.725078314019</v>
      </c>
      <c r="G25" s="294">
        <f>($C25*(1+'Biomass Data Assumptions'!H$103))*'Prac. Rec. Assumptions'!$B21</f>
        <v>27162.615336177256</v>
      </c>
      <c r="H25" s="294">
        <f>($C25*(1+'Biomass Data Assumptions'!I$103))*'Prac. Rec. Assumptions'!$B21</f>
        <v>27741.378176493057</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2035.0766666666664</v>
      </c>
      <c r="D26" s="294">
        <f>E26*'Conversion Tables'!C25</f>
        <v>31747.195999999996</v>
      </c>
      <c r="E26" s="294">
        <f>C26*'Prac. Rec. Assumptions'!B22</f>
        <v>2035.0766666666664</v>
      </c>
      <c r="F26" s="294">
        <f>($C26*(1+'Biomass Data Assumptions'!G$103))*'Prac. Rec. Assumptions'!$B22</f>
        <v>2085.6102143554476</v>
      </c>
      <c r="G26" s="294">
        <f>($C26*(1+'Biomass Data Assumptions'!H$103))*'Prac. Rec. Assumptions'!$B22</f>
        <v>2152.7291315420853</v>
      </c>
      <c r="H26" s="294">
        <f>($C26*(1+'Biomass Data Assumptions'!I$103))*'Prac. Rec. Assumptions'!$B22</f>
        <v>2198.5980440595945</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6291.6833333333325</v>
      </c>
      <c r="D27" s="294">
        <f>E27*'Conversion Tables'!C26</f>
        <v>98150.25999999998</v>
      </c>
      <c r="E27" s="294">
        <f>C27*'Prac. Rec. Assumptions'!B23</f>
        <v>6291.6833333333325</v>
      </c>
      <c r="F27" s="294">
        <f>($C27*(1+'Biomass Data Assumptions'!G$103))*'Prac. Rec. Assumptions'!$B23</f>
        <v>6447.9138503332051</v>
      </c>
      <c r="G27" s="294">
        <f>($C27*(1+'Biomass Data Assumptions'!H$103))*'Prac. Rec. Assumptions'!$B23</f>
        <v>6655.4200241945737</v>
      </c>
      <c r="H27" s="294">
        <f>($C27*(1+'Biomass Data Assumptions'!I$103))*'Prac. Rec. Assumptions'!$B23</f>
        <v>6797.2292627021507</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4408.87</v>
      </c>
      <c r="D28" s="294">
        <f>E28*'Conversion Tables'!C27</f>
        <v>78036.998999999996</v>
      </c>
      <c r="E28" s="294">
        <f>C28*'Prac. Rec. Assumptions'!B24</f>
        <v>4408.87</v>
      </c>
      <c r="F28" s="294">
        <f>($C28*(1+'Biomass Data Assumptions'!G$103))*'Prac. Rec. Assumptions'!$B24</f>
        <v>4518.3478619635807</v>
      </c>
      <c r="G28" s="294">
        <f>($C28*(1+'Biomass Data Assumptions'!H$103))*'Prac. Rec. Assumptions'!$B24</f>
        <v>4663.756919648541</v>
      </c>
      <c r="H28" s="294">
        <f>($C28*(1+'Biomass Data Assumptions'!I$103))*'Prac. Rec. Assumptions'!$B24</f>
        <v>4763.1291328154839</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73388.464999999982</v>
      </c>
      <c r="D29" s="295">
        <f>SUM(D13:D28)</f>
        <v>953349.72815999982</v>
      </c>
      <c r="E29" s="295">
        <f t="shared" si="3"/>
        <v>57015.695000000007</v>
      </c>
      <c r="F29" s="295">
        <f>SUM(F13:F28)</f>
        <v>57969.557004966249</v>
      </c>
      <c r="G29" s="295">
        <f>SUM(G13:G28)</f>
        <v>59236.481411562454</v>
      </c>
      <c r="H29" s="295">
        <f>SUM(H13:H28)</f>
        <v>60102.294616070285</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25374.021519000002</v>
      </c>
      <c r="D32" s="294">
        <f>E32*'Conversion Tables'!C29</f>
        <v>243590.60658240004</v>
      </c>
      <c r="E32" s="294">
        <f>C32*'Prac. Rec. Assumptions'!B26</f>
        <v>15224.412911400002</v>
      </c>
      <c r="F32" s="294">
        <f>($C32*(1+'Biomass Data Assumptions'!G$103)*(1+'Biomass Data Assumptions'!C$82))*'Prac. Rec. Assumptions'!$B26</f>
        <v>15591.860743276913</v>
      </c>
      <c r="G32" s="294">
        <f>($C32*(1+'Biomass Data Assumptions'!H$103)*(1+'Biomass Data Assumptions'!D$82))*'Prac. Rec. Assumptions'!$B26</f>
        <v>16082.709330400921</v>
      </c>
      <c r="H32" s="294">
        <f>($C32*(1+'Biomass Data Assumptions'!I$103)*(1+'Biomass Data Assumptions'!E$82))*'Prac. Rec. Assumptions'!$B26</f>
        <v>16414.236441681231</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93588.758257500012</v>
      </c>
      <c r="D33" s="294">
        <f>E33*'Conversion Tables'!C30</f>
        <v>1087276.7579323321</v>
      </c>
      <c r="E33" s="294">
        <f>C33*'Prac. Rec. Assumptions'!B27</f>
        <v>74871.00660600001</v>
      </c>
      <c r="F33" s="294">
        <f>($C33*(1+'Biomass Data Assumptions'!G$103)*(1+'Biomass Data Assumptions'!C$82))*'Prac. Rec. Assumptions'!$B27</f>
        <v>76678.050937227803</v>
      </c>
      <c r="G33" s="294">
        <f>($C33*(1+'Biomass Data Assumptions'!H$103)*(1+'Biomass Data Assumptions'!D$82))*'Prac. Rec. Assumptions'!$B27</f>
        <v>79091.958653931215</v>
      </c>
      <c r="H33" s="294">
        <f>($C33*(1+'Biomass Data Assumptions'!I$103)*(1+'Biomass Data Assumptions'!E$82))*'Prac. Rec. Assumptions'!$B27</f>
        <v>80722.351148091024</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71989.296197499993</v>
      </c>
      <c r="D34" s="294">
        <f>E34*'Conversion Tables'!C31</f>
        <v>752708.5627536684</v>
      </c>
      <c r="E34" s="294">
        <f>C34*'Prac. Rec. Assumptions'!B28</f>
        <v>51832.293262200001</v>
      </c>
      <c r="F34" s="294">
        <f>($C34*(1+'Biomass Data Assumptions'!G$103)*(1+'Biomass Data Assumptions'!C$82))*'Prac. Rec. Assumptions'!$B28</f>
        <v>53083.288219525566</v>
      </c>
      <c r="G34" s="294">
        <f>($C34*(1+'Biomass Data Assumptions'!H$103)*(1+'Biomass Data Assumptions'!D$82))*'Prac. Rec. Assumptions'!$B28</f>
        <v>54754.40736633334</v>
      </c>
      <c r="H34" s="294">
        <f>($C34*(1+'Biomass Data Assumptions'!I$103)*(1+'Biomass Data Assumptions'!E$82))*'Prac. Rec. Assumptions'!$B28</f>
        <v>55883.108391210553</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31407.497599999999</v>
      </c>
      <c r="D35" s="294">
        <f>E35*'Conversion Tables'!C32</f>
        <v>355784.13281280006</v>
      </c>
      <c r="E35" s="294">
        <f>C35*'Prac. Rec. Assumptions'!B29</f>
        <v>20100.798464000003</v>
      </c>
      <c r="F35" s="294">
        <f>($C35*(1+'Biomass Data Assumptions'!G$103)*(1+'Biomass Data Assumptions'!C$83))*'Prac. Rec. Assumptions'!$B29</f>
        <v>21634.271761929122</v>
      </c>
      <c r="G35" s="294">
        <f>($C35*(1+'Biomass Data Assumptions'!H$103)*(1+'Biomass Data Assumptions'!D$83))*'Prac. Rec. Assumptions'!$B29</f>
        <v>23451.742930748482</v>
      </c>
      <c r="H35" s="294">
        <f>($C35*(1+'Biomass Data Assumptions'!I$103)*(1+'Biomass Data Assumptions'!E$83))*'Prac. Rec. Assumptions'!$B29</f>
        <v>25154.064818542811</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1533.7375</v>
      </c>
      <c r="D37" s="294">
        <f>E37*'Conversion Tables'!C34</f>
        <v>24539.8</v>
      </c>
      <c r="E37" s="294">
        <f>C37*'Prac. Rec. Assumptions'!B31</f>
        <v>1533.7375</v>
      </c>
      <c r="F37" s="294">
        <f>($C37*(1+'Biomass Data Assumptions'!G$103)*(1+'Biomass Data Assumptions'!C$84))*'Prac. Rec. Assumptions'!$B31</f>
        <v>1718.7500961777487</v>
      </c>
      <c r="G37" s="294">
        <f>($C37*(1+'Biomass Data Assumptions'!H$103)*(1+'Biomass Data Assumptions'!D$84))*'Prac. Rec. Assumptions'!$B31</f>
        <v>1939.8953731711154</v>
      </c>
      <c r="H37" s="294">
        <f>($C37*(1+'Biomass Data Assumptions'!I$103)*(1+'Biomass Data Assumptions'!E$84))*'Prac. Rec. Assumptions'!$B31</f>
        <v>2166.4271294576633</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11780.088000000002</v>
      </c>
      <c r="D38" s="294">
        <f>E38*'Conversion Tables'!C35</f>
        <v>104253.77880000001</v>
      </c>
      <c r="E38" s="294">
        <f>C38*'Prac. Rec. Assumptions'!B32</f>
        <v>5890.0440000000008</v>
      </c>
      <c r="F38" s="294">
        <f>($C38*(1+'Biomass Data Assumptions'!G$103)*(1+'Biomass Data Assumptions'!C$84))*'Prac. Rec. Assumptions'!$B32</f>
        <v>6600.551718590159</v>
      </c>
      <c r="G38" s="294">
        <f>($C38*(1+'Biomass Data Assumptions'!H$103)*(1+'Biomass Data Assumptions'!D$84))*'Prac. Rec. Assumptions'!$B32</f>
        <v>7449.8205223346831</v>
      </c>
      <c r="H38" s="294">
        <f>($C38*(1+'Biomass Data Assumptions'!I$103)*(1+'Biomass Data Assumptions'!E$84))*'Prac. Rec. Assumptions'!$B32</f>
        <v>8319.7751344668395</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115498.035</v>
      </c>
      <c r="D39" s="299">
        <f>E39*'Conversion Tables'!C36</f>
        <v>0</v>
      </c>
      <c r="E39" s="299">
        <f>C39*'Prac. Rec. Assumptions'!B33</f>
        <v>0</v>
      </c>
      <c r="F39" s="294">
        <f>($C39*(1+'Biomass Data Assumptions'!G$103)*(1+'Biomass Data Assumptions'!C$84))*'Prac. Rec. Assumptions'!$B33</f>
        <v>0</v>
      </c>
      <c r="G39" s="294">
        <f>($C39*(1+'Biomass Data Assumptions'!H$103)*(1+'Biomass Data Assumptions'!D$84))*'Prac. Rec. Assumptions'!$B33</f>
        <v>0</v>
      </c>
      <c r="H39" s="294">
        <f>($C39*(1+'Biomass Data Assumptions'!I$103)*(1+'Biomass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26847.683999999997</v>
      </c>
      <c r="D40" s="299">
        <f>E40*'Conversion Tables'!C37</f>
        <v>0</v>
      </c>
      <c r="E40" s="299">
        <f>C40*'Prac. Rec. Assumptions'!B34</f>
        <v>0</v>
      </c>
      <c r="F40" s="294">
        <f>($C40*(1+'Biomass Data Assumptions'!G$103)*(1+'Biomass Data Assumptions'!C$84))*'Prac. Rec. Assumptions'!$B34</f>
        <v>0</v>
      </c>
      <c r="G40" s="294">
        <f>($C40*(1+'Biomass Data Assumptions'!H$103)*(1+'Biomass Data Assumptions'!D$84))*'Prac. Rec. Assumptions'!$B34</f>
        <v>0</v>
      </c>
      <c r="H40" s="294">
        <f>($C40*(1+'Biomass Data Assumptions'!I$103)*(1+'Biomass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23086.593000000001</v>
      </c>
      <c r="D41" s="299">
        <f>E41*'Conversion Tables'!C38</f>
        <v>0</v>
      </c>
      <c r="E41" s="299">
        <f>C41*'Prac. Rec. Assumptions'!B35</f>
        <v>0</v>
      </c>
      <c r="F41" s="294">
        <f>($C41*(1+'Biomass Data Assumptions'!G$103)*(1+'Biomass Data Assumptions'!C$84))*'Prac. Rec. Assumptions'!$B35</f>
        <v>0</v>
      </c>
      <c r="G41" s="294">
        <f>($C41*(1+'Biomass Data Assumptions'!H$103)*(1+'Biomass Data Assumptions'!D$84))*'Prac. Rec. Assumptions'!$B35</f>
        <v>0</v>
      </c>
      <c r="H41" s="294">
        <f>($C41*(1+'Biomass Data Assumptions'!I$103)*(1+'Biomass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18386.64</v>
      </c>
      <c r="D42" s="299">
        <f>E42*'Conversion Tables'!C39</f>
        <v>267010.78607999999</v>
      </c>
      <c r="E42" s="299">
        <f>C42*'Prac. Rec. Assumptions'!B36</f>
        <v>18386.64</v>
      </c>
      <c r="F42" s="294">
        <f>($C42*(1+'Biomass Data Assumptions'!G$103)*(1+'Biomass Data Assumptions'!C$84))*'Prac. Rec. Assumptions'!$B36</f>
        <v>20604.594507460133</v>
      </c>
      <c r="G42" s="294">
        <f>($C42*(1+'Biomass Data Assumptions'!H$103)*(1+'Biomass Data Assumptions'!D$84))*'Prac. Rec. Assumptions'!$B36</f>
        <v>23255.712182927626</v>
      </c>
      <c r="H42" s="294">
        <f>($C42*(1+'Biomass Data Assumptions'!I$103)*(1+'Biomass Data Assumptions'!E$84))*'Prac. Rec. Assumptions'!$B36</f>
        <v>25971.4036564741</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419492.35107400001</v>
      </c>
      <c r="D43" s="295">
        <f t="shared" si="4"/>
        <v>2835164.4249612004</v>
      </c>
      <c r="E43" s="295">
        <f t="shared" si="4"/>
        <v>187838.93274359999</v>
      </c>
      <c r="F43" s="295">
        <f t="shared" si="4"/>
        <v>195911.36798418744</v>
      </c>
      <c r="G43" s="295">
        <f t="shared" si="4"/>
        <v>206026.24635984737</v>
      </c>
      <c r="H43" s="295">
        <f t="shared" si="4"/>
        <v>214631.36671992423</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3490.56</v>
      </c>
      <c r="D46" s="294">
        <f>E46*'Conversion Tables'!C41</f>
        <v>0</v>
      </c>
      <c r="E46" s="294">
        <f>C46*'Prac. Rec. Assumptions'!B38</f>
        <v>3490.56</v>
      </c>
      <c r="F46" s="294">
        <f>$E46</f>
        <v>3490.56</v>
      </c>
      <c r="G46" s="294">
        <f>$E46</f>
        <v>3490.56</v>
      </c>
      <c r="H46" s="294">
        <f>$E46</f>
        <v>3490.56</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3028.8689200000003</v>
      </c>
      <c r="D47" s="294"/>
      <c r="E47" s="294">
        <f>C47*'Prac. Rec. Assumptions'!B39</f>
        <v>1514.4344600000002</v>
      </c>
      <c r="F47" s="294">
        <f>($C47*(1+'Biomass Data Assumptions'!G$103))*'Prac. Rec. Assumptions'!$B39</f>
        <v>1552.0397980491532</v>
      </c>
      <c r="G47" s="294">
        <f>($C47*(1+'Biomass Data Assumptions'!H$103))*'Prac. Rec. Assumptions'!$B39</f>
        <v>1601.987400893926</v>
      </c>
      <c r="H47" s="294">
        <f>($C47*(1+'Biomass Data Assumptions'!I$103))*'Prac. Rec. Assumptions'!$B39</f>
        <v>1636.1214769693113</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270.69503649999996</v>
      </c>
      <c r="D48" s="294"/>
      <c r="E48" s="294">
        <f>C48*'Prac. Rec. Assumptions'!B40</f>
        <v>270.69503649999996</v>
      </c>
      <c r="F48" s="294">
        <f>($C48*(1+'Biomass Data Assumptions'!G$103))*'Prac. Rec. Assumptions'!$B40</f>
        <v>277.41673930370553</v>
      </c>
      <c r="G48" s="294">
        <f>($C48*(1+'Biomass Data Assumptions'!H$103))*'Prac. Rec. Assumptions'!$B40</f>
        <v>286.34453943785809</v>
      </c>
      <c r="H48" s="294">
        <f>($C48*(1+'Biomass Data Assumptions'!I$103))*'Prac. Rec. Assumptions'!$B40</f>
        <v>292.44577736737546</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6790.1239565000005</v>
      </c>
      <c r="D49" s="295">
        <f>SUM(D45:D48)</f>
        <v>0</v>
      </c>
      <c r="E49" s="295">
        <f t="shared" si="6"/>
        <v>5275.6894965000001</v>
      </c>
      <c r="F49" s="295">
        <f>SUM(F45:F48)</f>
        <v>5320.016537352858</v>
      </c>
      <c r="G49" s="295">
        <f>SUM(G45:G48)</f>
        <v>5378.8919403317832</v>
      </c>
      <c r="H49" s="295">
        <f>SUM(H45:H48)</f>
        <v>5419.1272543366867</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146.15183999999999</v>
      </c>
      <c r="D52" s="299">
        <f>E52*'Conversion Tables'!C45</f>
        <v>431.55715315199996</v>
      </c>
      <c r="E52" s="299">
        <f>C52*'Prac. Rec. Assumptions'!B42</f>
        <v>29.230367999999999</v>
      </c>
      <c r="F52" s="294">
        <f t="shared" ref="F52:H59" si="7">$E52</f>
        <v>29.230367999999999</v>
      </c>
      <c r="G52" s="294">
        <f t="shared" si="7"/>
        <v>29.230367999999999</v>
      </c>
      <c r="H52" s="294">
        <f t="shared" si="7"/>
        <v>29.230367999999999</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29.5869</v>
      </c>
      <c r="D53" s="299">
        <f>E53*'Conversion Tables'!C46</f>
        <v>262.09259495999999</v>
      </c>
      <c r="E53" s="299">
        <f>C53*'Prac. Rec. Assumptions'!B43</f>
        <v>17.752140000000001</v>
      </c>
      <c r="F53" s="294">
        <f t="shared" si="7"/>
        <v>17.752140000000001</v>
      </c>
      <c r="G53" s="294">
        <f t="shared" si="7"/>
        <v>17.752140000000001</v>
      </c>
      <c r="H53" s="294">
        <f t="shared" si="7"/>
        <v>17.752140000000001</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1885.2423374999998</v>
      </c>
      <c r="D54" s="299">
        <f>E54*'Conversion Tables'!C47</f>
        <v>16700.230722509998</v>
      </c>
      <c r="E54" s="299">
        <f>C54*'Prac. Rec. Assumptions'!B44</f>
        <v>1131.1454024999998</v>
      </c>
      <c r="F54" s="294">
        <f t="shared" si="7"/>
        <v>1131.1454024999998</v>
      </c>
      <c r="G54" s="294">
        <f t="shared" si="7"/>
        <v>1131.1454024999998</v>
      </c>
      <c r="H54" s="294">
        <f t="shared" si="7"/>
        <v>1131.1454024999998</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63.592124999999996</v>
      </c>
      <c r="D55" s="299">
        <f>E55*'Conversion Tables'!C48</f>
        <v>187.77482669999998</v>
      </c>
      <c r="E55" s="299">
        <f>C55*'Prac. Rec. Assumptions'!B45</f>
        <v>12.718425</v>
      </c>
      <c r="F55" s="294">
        <f t="shared" si="7"/>
        <v>12.718425</v>
      </c>
      <c r="G55" s="294">
        <f t="shared" si="7"/>
        <v>12.718425</v>
      </c>
      <c r="H55" s="294">
        <f t="shared" si="7"/>
        <v>12.718425</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83.931750000000008</v>
      </c>
      <c r="D56" s="299">
        <f>E56*'Conversion Tables'!C49</f>
        <v>247.83367140000001</v>
      </c>
      <c r="E56" s="299">
        <f>C56*'Prac. Rec. Assumptions'!B46</f>
        <v>16.786350000000002</v>
      </c>
      <c r="F56" s="294">
        <f t="shared" si="7"/>
        <v>16.786350000000002</v>
      </c>
      <c r="G56" s="294">
        <f t="shared" si="7"/>
        <v>16.786350000000002</v>
      </c>
      <c r="H56" s="294">
        <f t="shared" si="7"/>
        <v>16.786350000000002</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113.651875</v>
      </c>
      <c r="D57" s="299">
        <f>E57*'Conversion Tables'!C50</f>
        <v>838.97814125000002</v>
      </c>
      <c r="E57" s="299">
        <f>C57*'Prac. Rec. Assumptions'!B47</f>
        <v>56.825937500000002</v>
      </c>
      <c r="F57" s="294">
        <f t="shared" si="7"/>
        <v>56.825937500000002</v>
      </c>
      <c r="G57" s="294">
        <f t="shared" si="7"/>
        <v>56.825937500000002</v>
      </c>
      <c r="H57" s="294">
        <f t="shared" si="7"/>
        <v>56.825937500000002</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19.573125000000001</v>
      </c>
      <c r="D58" s="299">
        <f>E58*'Conversion Tables'!C51</f>
        <v>234.8775</v>
      </c>
      <c r="E58" s="299">
        <f>C58*'Prac. Rec. Assumptions'!B48</f>
        <v>19.573125000000001</v>
      </c>
      <c r="F58" s="294">
        <f t="shared" si="7"/>
        <v>19.573125000000001</v>
      </c>
      <c r="G58" s="294">
        <f t="shared" si="7"/>
        <v>19.573125000000001</v>
      </c>
      <c r="H58" s="294">
        <f t="shared" si="7"/>
        <v>19.573125000000001</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6.1160312500000007</v>
      </c>
      <c r="D59" s="299">
        <f>E59*'Conversion Tables'!C52</f>
        <v>90.297085375000009</v>
      </c>
      <c r="E59" s="299">
        <f>C59*'Prac. Rec. Assumptions'!B49</f>
        <v>6.1160312500000007</v>
      </c>
      <c r="F59" s="294">
        <f t="shared" si="7"/>
        <v>6.1160312500000007</v>
      </c>
      <c r="G59" s="294">
        <f t="shared" si="7"/>
        <v>6.1160312500000007</v>
      </c>
      <c r="H59" s="294">
        <f t="shared" si="7"/>
        <v>6.1160312500000007</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Assumptions'!AE18</f>
        <v>40303.650299000001</v>
      </c>
      <c r="D60" s="299">
        <f>E60*'Conversion Tables'!C53</f>
        <v>483643.80358800001</v>
      </c>
      <c r="E60" s="299">
        <f>C60*'Prac. Rec. Assumptions'!B50</f>
        <v>40303.650299000001</v>
      </c>
      <c r="F60" s="294">
        <f>($C60*(1+'Biomass Data Assumptions'!G$103*(4/5)))*'Prac. Rec. Assumptions'!$B50</f>
        <v>41104.283107690186</v>
      </c>
      <c r="G60" s="294">
        <f>($C60*(1+'Biomass Data Assumptions'!H$103*(9/10)))*'Prac. Rec. Assumptions'!$B50</f>
        <v>42400.692386376977</v>
      </c>
      <c r="H60" s="294">
        <f>($C60*(1+'Biomass Data Assumptions'!I$103*(14/15)))*'Prac. Rec. Assumptions'!$B50</f>
        <v>43326.210227191914</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42651.496282749998</v>
      </c>
      <c r="D61" s="295">
        <f>SUM(D52:D60)</f>
        <v>502637.44528334698</v>
      </c>
      <c r="E61" s="295">
        <f t="shared" ref="E61:P61" si="8">SUM(E52:E60)</f>
        <v>41593.798078250002</v>
      </c>
      <c r="F61" s="295">
        <f>SUM(F52:F60)</f>
        <v>42394.430886940187</v>
      </c>
      <c r="G61" s="295">
        <f>SUM(G52:G60)</f>
        <v>43690.840165626978</v>
      </c>
      <c r="H61" s="295">
        <f>SUM(H52:H60)</f>
        <v>44616.358006441915</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Assumptions'!AB18</f>
        <v>434.77021354999999</v>
      </c>
      <c r="D63" s="300">
        <f>E63*'Conversion Tables'!C55</f>
        <v>269122.76218745002</v>
      </c>
      <c r="E63" s="299">
        <f>C63*'Prac. Rec. Assumptions'!B51</f>
        <v>434.77021354999999</v>
      </c>
      <c r="F63" s="294">
        <f>($C63*(1+'Biomass Data Assumptions'!G$103*(4/5)))*'Prac. Rec. Assumptions'!$B51</f>
        <v>443.40693242352609</v>
      </c>
      <c r="G63" s="294">
        <f>($C63*(1+'Biomass Data Assumptions'!H$103*(9/10)))*'Prac. Rec. Assumptions'!$B51</f>
        <v>457.39177336873547</v>
      </c>
      <c r="H63" s="294">
        <f>($C63*(1+'Biomass Data Assumptions'!I$103*(14/15)))*'Prac. Rec. Assumptions'!$B51</f>
        <v>467.37567275031159</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Assumptions'!X18</f>
        <v>785.86560530970928</v>
      </c>
      <c r="D64" s="300">
        <f>E64*'Conversion Tables'!C56</f>
        <v>397647.99628671288</v>
      </c>
      <c r="E64" s="299">
        <f>C64*'Prac. Rec. Assumptions'!B52</f>
        <v>785.86560530970928</v>
      </c>
      <c r="F64" s="545">
        <f>($C64*(1+'Biomass Data Assumptions'!G$103*(3/5))*(1+('Biomass Data Assumptions'!C$82-((1+'Biomass Data Assumptions'!$B$82)^2 - 1))))*'Prac. Rec. Assumptions'!$B52</f>
        <v>797.24915441566395</v>
      </c>
      <c r="G64" s="545">
        <f>($C64*(1+'Biomass Data Assumptions'!H$103*(4/5))*(1+('Biomass Data Assumptions'!D$82-((1+'Biomass Data Assumptions'!$B$82)^2 - 1))))*'Prac. Rec. Assumptions'!$B52</f>
        <v>821.31896511751768</v>
      </c>
      <c r="H64" s="545">
        <f>($C64*(1+'Biomass Data Assumptions'!I$103*(13/15))*(1+('Biomass Data Assumptions'!E$82-((1+'Biomass Data Assumptions'!$B$82)^2 - 1))))*'Prac. Rec. Assumptions'!$B52</f>
        <v>839.10893266144978</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1220.6358188597092</v>
      </c>
      <c r="D65" s="295">
        <f>SUM(D63:D64)</f>
        <v>666770.7584741629</v>
      </c>
      <c r="E65" s="295">
        <f t="shared" ref="E65:P65" si="9">SUM(E63:E64)</f>
        <v>1220.6358188597092</v>
      </c>
      <c r="F65" s="295">
        <f>SUM(F63:F64)</f>
        <v>1240.65608683919</v>
      </c>
      <c r="G65" s="295">
        <f>SUM(G63:G64)</f>
        <v>1278.7107384862531</v>
      </c>
      <c r="H65" s="295">
        <f>SUM(H63:H64)</f>
        <v>1306.4846054117613</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88378.776855365984</v>
      </c>
      <c r="D67" s="295">
        <f t="shared" ref="D67" si="10">D61+D65</f>
        <v>1169408.2037575098</v>
      </c>
      <c r="E67" s="295">
        <f>E61+(E63*1000000/29487.1582406855)+(E64*1000000/25364.5039539246)</f>
        <v>87321.078650865995</v>
      </c>
      <c r="F67" s="295">
        <f t="shared" ref="F67:H67" si="11">F61+(F63*1000000/29487.1582406855)+(F64*1000000/25364.5039539246)</f>
        <v>88863.407505670795</v>
      </c>
      <c r="G67" s="295">
        <f t="shared" si="11"/>
        <v>91583.042137427372</v>
      </c>
      <c r="H67" s="295">
        <f t="shared" si="11"/>
        <v>93548.51721464764</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597562.69408586598</v>
      </c>
      <c r="D68" s="132"/>
      <c r="E68" s="132">
        <f>E11+E29+E43+E49+E67</f>
        <v>337451.395890966</v>
      </c>
      <c r="F68" s="132">
        <f>F11+F29+F43+F49+F67</f>
        <v>348064.34903217736</v>
      </c>
      <c r="G68" s="132">
        <f>G11+G29+G43+G49+G67</f>
        <v>362224.661849169</v>
      </c>
      <c r="H68" s="132">
        <f>H11+H29+H43+H49+H67</f>
        <v>373701.30580497882</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90</v>
      </c>
      <c r="C74" s="40">
        <f>'Biomass Data Assumptions'!B38*B74</f>
        <v>5877</v>
      </c>
      <c r="D74" s="40">
        <f>(C74*'Biomass Data Assumptions'!C38)/2000</f>
        <v>164.55600000000001</v>
      </c>
      <c r="E74" s="41"/>
      <c r="F74" s="41"/>
      <c r="G74" s="41"/>
      <c r="H74" s="36"/>
      <c r="I74" s="36"/>
      <c r="J74" s="36"/>
      <c r="K74" s="36"/>
      <c r="L74" s="36"/>
      <c r="M74" s="36"/>
      <c r="N74" s="36"/>
      <c r="O74" s="36"/>
      <c r="P74" s="36"/>
      <c r="Q74" s="36"/>
      <c r="R74" s="36"/>
    </row>
    <row r="75" spans="1:19" x14ac:dyDescent="0.25">
      <c r="A75" s="39" t="s">
        <v>520</v>
      </c>
      <c r="B75" s="21">
        <v>623</v>
      </c>
      <c r="C75" s="40">
        <f>'Biomass Data Assumptions'!B39*B75</f>
        <v>17007.900000000001</v>
      </c>
      <c r="D75" s="40">
        <f>(C75*'Biomass Data Assumptions'!C39)/2000</f>
        <v>476.22120000000007</v>
      </c>
      <c r="E75" s="41"/>
      <c r="F75" s="41"/>
      <c r="G75" s="41"/>
      <c r="H75" s="36"/>
      <c r="I75" s="36"/>
      <c r="J75" s="36"/>
      <c r="K75" s="36"/>
      <c r="L75" s="36"/>
      <c r="M75" s="36"/>
      <c r="N75" s="36"/>
      <c r="O75" s="36"/>
      <c r="P75" s="36"/>
      <c r="Q75" s="36"/>
      <c r="R75" s="36"/>
    </row>
    <row r="76" spans="1:19" x14ac:dyDescent="0.25">
      <c r="A76" s="39" t="s">
        <v>521</v>
      </c>
      <c r="B76" s="21">
        <v>2484</v>
      </c>
      <c r="C76" s="40">
        <f>'Biomass Data Assumptions'!B40*B76</f>
        <v>310500</v>
      </c>
      <c r="D76" s="40">
        <f>(C76*'Biomass Data Assumptions'!C40)/2000</f>
        <v>8694</v>
      </c>
      <c r="E76" s="41"/>
      <c r="F76" s="41"/>
      <c r="G76" s="41"/>
      <c r="H76" s="36"/>
      <c r="I76" s="36"/>
      <c r="J76" s="36"/>
      <c r="K76" s="36"/>
      <c r="L76" s="36"/>
      <c r="M76" s="36"/>
      <c r="N76" s="36"/>
      <c r="O76" s="36"/>
      <c r="P76" s="36"/>
      <c r="Q76" s="36"/>
      <c r="R76" s="36"/>
    </row>
    <row r="77" spans="1:19" x14ac:dyDescent="0.25">
      <c r="A77" s="39" t="s">
        <v>525</v>
      </c>
      <c r="B77" s="21">
        <v>3636</v>
      </c>
      <c r="C77" s="40">
        <f>'Biomass Data Assumptions'!B41*B77</f>
        <v>116352</v>
      </c>
      <c r="D77" s="40">
        <f>(C77*'Biomass Data Assumptions'!C41)/2000</f>
        <v>3490.56</v>
      </c>
      <c r="E77" s="41"/>
      <c r="F77" s="41"/>
      <c r="G77" s="41"/>
      <c r="H77" s="36"/>
      <c r="I77" s="36"/>
      <c r="J77" s="36"/>
      <c r="K77" s="36"/>
      <c r="L77" s="36"/>
      <c r="M77" s="36"/>
      <c r="N77" s="36"/>
      <c r="O77" s="36"/>
      <c r="P77" s="36"/>
      <c r="Q77" s="36"/>
      <c r="R77" s="36"/>
    </row>
    <row r="78" spans="1:19" x14ac:dyDescent="0.25">
      <c r="A78" s="39" t="s">
        <v>522</v>
      </c>
      <c r="B78" s="21">
        <v>110</v>
      </c>
      <c r="C78" s="40">
        <f>'Biomass Data Assumptions'!B42*B78</f>
        <v>5940</v>
      </c>
      <c r="D78" s="40">
        <f>(C78*'Biomass Data Assumptions'!C42)/2000</f>
        <v>178.2</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258</v>
      </c>
      <c r="C81" s="40">
        <f>'Biomass Data Assumptions'!B49*B81</f>
        <v>258</v>
      </c>
      <c r="D81" s="40">
        <f>C81*'Energy Content Assumptions'!C11</f>
        <v>219.29999999999998</v>
      </c>
      <c r="E81" s="41"/>
      <c r="F81" s="41"/>
      <c r="G81" s="41"/>
      <c r="H81" s="36"/>
      <c r="I81" s="36"/>
      <c r="J81" s="36"/>
      <c r="K81" s="36"/>
      <c r="L81" s="36"/>
      <c r="M81" s="36"/>
      <c r="N81" s="36"/>
      <c r="O81" s="36"/>
      <c r="P81" s="36"/>
      <c r="Q81" s="36"/>
      <c r="R81" s="36"/>
    </row>
    <row r="82" spans="1:18" x14ac:dyDescent="0.25">
      <c r="A82" s="39" t="s">
        <v>520</v>
      </c>
      <c r="B82" s="21">
        <f>623+156</f>
        <v>779</v>
      </c>
      <c r="C82" s="40">
        <f>'Biomass Data Assumptions'!B50*B82</f>
        <v>1752.75</v>
      </c>
      <c r="D82" s="40">
        <f>C82*'Energy Content Assumptions'!C12</f>
        <v>1489.8374999999999</v>
      </c>
      <c r="E82" s="41"/>
      <c r="F82" s="41"/>
      <c r="G82" s="41"/>
      <c r="H82" s="36"/>
      <c r="I82" s="36"/>
      <c r="J82" s="36"/>
      <c r="K82" s="36"/>
      <c r="L82" s="36"/>
      <c r="M82" s="36"/>
      <c r="N82" s="36"/>
      <c r="O82" s="36"/>
      <c r="P82" s="36"/>
      <c r="Q82" s="36"/>
      <c r="R82" s="36"/>
    </row>
    <row r="83" spans="1:18" x14ac:dyDescent="0.25">
      <c r="A83" s="39" t="s">
        <v>521</v>
      </c>
      <c r="B83" s="21">
        <v>2484</v>
      </c>
      <c r="C83" s="40">
        <f>'Biomass Data Assumptions'!B51*B83</f>
        <v>6210</v>
      </c>
      <c r="D83" s="40">
        <f>C83*'Energy Content Assumptions'!C13</f>
        <v>5278.5</v>
      </c>
      <c r="E83" s="41"/>
      <c r="F83" s="41"/>
      <c r="G83" s="41"/>
      <c r="H83" s="36"/>
      <c r="I83" s="36"/>
      <c r="J83" s="36"/>
      <c r="K83" s="36"/>
      <c r="L83" s="36"/>
      <c r="M83" s="36"/>
      <c r="N83" s="36"/>
      <c r="O83" s="36"/>
      <c r="P83" s="36"/>
      <c r="Q83" s="36"/>
      <c r="R83" s="36"/>
    </row>
    <row r="84" spans="1:18" x14ac:dyDescent="0.25">
      <c r="A84" s="39" t="s">
        <v>528</v>
      </c>
      <c r="B84" s="21">
        <v>188</v>
      </c>
      <c r="C84" s="40">
        <f>'Biomass Data Assumptions'!B52*B84</f>
        <v>3083.2</v>
      </c>
      <c r="D84" s="40">
        <f>C84*'Energy Content Assumptions'!C14</f>
        <v>1079.1199999999999</v>
      </c>
      <c r="E84" s="41"/>
      <c r="F84" s="41"/>
      <c r="G84" s="41"/>
      <c r="H84" s="36"/>
      <c r="I84" s="36"/>
      <c r="J84" s="36"/>
      <c r="K84" s="36"/>
      <c r="L84" s="36"/>
      <c r="M84" s="36"/>
      <c r="N84" s="36"/>
      <c r="O84" s="36"/>
      <c r="P84" s="36"/>
      <c r="Q84" s="36"/>
      <c r="R84" s="36"/>
    </row>
    <row r="85" spans="1:18" x14ac:dyDescent="0.25">
      <c r="A85" s="39" t="s">
        <v>529</v>
      </c>
      <c r="B85" s="21">
        <v>175</v>
      </c>
      <c r="C85" s="40">
        <f>'Biomass Data Assumptions'!B53*B85</f>
        <v>560</v>
      </c>
      <c r="D85" s="40">
        <f>C85*'Energy Content Assumptions'!C15</f>
        <v>476</v>
      </c>
      <c r="E85" s="41"/>
      <c r="F85" s="41"/>
      <c r="G85" s="41"/>
      <c r="H85" s="36"/>
      <c r="I85" s="36"/>
      <c r="J85" s="36"/>
      <c r="K85" s="36"/>
      <c r="L85" s="36"/>
      <c r="M85" s="36"/>
      <c r="N85" s="36"/>
      <c r="O85" s="36"/>
      <c r="P85" s="36"/>
      <c r="Q85" s="36"/>
      <c r="R85" s="36"/>
    </row>
    <row r="86" spans="1:18" x14ac:dyDescent="0.25">
      <c r="A86" s="39" t="s">
        <v>530</v>
      </c>
      <c r="B86" s="21">
        <v>638</v>
      </c>
      <c r="C86" s="40">
        <f>'Biomass Data Assumptions'!B54*B86</f>
        <v>1084.5999999999999</v>
      </c>
      <c r="D86" s="40">
        <f>C86*'Energy Content Assumptions'!C16</f>
        <v>921.90999999999985</v>
      </c>
      <c r="E86" s="41"/>
      <c r="F86" s="41"/>
      <c r="G86" s="41"/>
      <c r="H86" s="36"/>
      <c r="I86" s="36"/>
      <c r="J86" s="36"/>
      <c r="K86" s="36"/>
      <c r="L86" s="36"/>
      <c r="M86" s="36"/>
      <c r="N86" s="36"/>
      <c r="O86" s="36"/>
      <c r="P86" s="36"/>
      <c r="Q86" s="36"/>
      <c r="R86" s="36"/>
    </row>
    <row r="87" spans="1:18" x14ac:dyDescent="0.25">
      <c r="A87" s="39" t="s">
        <v>522</v>
      </c>
      <c r="B87" s="21">
        <f>110+5</f>
        <v>115</v>
      </c>
      <c r="C87" s="40">
        <f>'Biomass Data Assumptions'!B55*B87</f>
        <v>201.25</v>
      </c>
      <c r="D87" s="40">
        <f>C87*'Energy Content Assumptions'!C17</f>
        <v>171.0625</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t="11.25" customHeight="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129</v>
      </c>
      <c r="C97" s="41">
        <f>ROUND('Biomass Data Assumptions'!$B$60/1000*B97,0)</f>
        <v>129</v>
      </c>
      <c r="D97" s="41">
        <f>'Biomass Data Assumptions'!$C$60*C97</f>
        <v>4331820</v>
      </c>
      <c r="E97" s="41">
        <f>('Biomass Data Assumptions'!$D$60*'Energy Content Assumptions'!$C$44*D97)/2000</f>
        <v>51.981840000000005</v>
      </c>
      <c r="F97" s="41">
        <f>('Biomass Data Assumptions'!$E$60*B97*365)/2000</f>
        <v>94.17</v>
      </c>
      <c r="G97" s="41">
        <f>F97+E97</f>
        <v>146.15183999999999</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3</v>
      </c>
      <c r="C100" s="41">
        <f>ROUND('Biomass Data Assumptions'!B62/1000*B100,0)</f>
        <v>1</v>
      </c>
      <c r="D100" s="41">
        <f>'Biomass Data Assumptions'!C62*C100</f>
        <v>29200</v>
      </c>
      <c r="E100" s="41">
        <f>('Biomass Data Assumptions'!D62*'Energy Content Assumptions'!C46*D100)/2000</f>
        <v>1.3140000000000001</v>
      </c>
      <c r="F100" s="41">
        <f>('Biomass Data Assumptions'!E62*B100*365)/2000</f>
        <v>2.7374999999999998</v>
      </c>
      <c r="G100" s="41">
        <f>F100+E100</f>
        <v>4.0514999999999999</v>
      </c>
      <c r="H100" s="36"/>
      <c r="I100" s="36"/>
      <c r="J100" s="41"/>
      <c r="K100" s="41"/>
      <c r="L100" s="41"/>
      <c r="M100" s="41"/>
      <c r="N100" s="36"/>
      <c r="O100" s="36"/>
      <c r="P100" s="36"/>
      <c r="Q100" s="36"/>
      <c r="R100" s="36"/>
    </row>
    <row r="101" spans="1:18" ht="0.75" customHeight="1" x14ac:dyDescent="0.25">
      <c r="A101" s="45"/>
      <c r="B101" s="85"/>
      <c r="C101" s="41"/>
      <c r="D101" s="41"/>
      <c r="E101" s="41"/>
      <c r="F101" s="41"/>
      <c r="G101" s="41"/>
      <c r="H101" s="36"/>
      <c r="I101" s="36"/>
      <c r="J101" s="41"/>
      <c r="K101" s="41"/>
      <c r="L101" s="41"/>
      <c r="M101" s="41"/>
      <c r="N101" s="36"/>
      <c r="O101" s="36"/>
      <c r="P101" s="36"/>
      <c r="Q101" s="36"/>
      <c r="R101" s="36"/>
    </row>
    <row r="102" spans="1:18" ht="11.25" customHeight="1" x14ac:dyDescent="0.25">
      <c r="A102" s="460" t="s">
        <v>604</v>
      </c>
      <c r="B102" s="85">
        <v>6</v>
      </c>
      <c r="C102" s="41">
        <f>ROUND('Biomass Data Assumptions'!B64/1000*B102,0)</f>
        <v>8</v>
      </c>
      <c r="D102" s="41">
        <f>'Biomass Data Assumptions'!C64*C102</f>
        <v>324120</v>
      </c>
      <c r="E102" s="41">
        <f>('Biomass Data Assumptions'!D64*'Energy Content Assumptions'!C48*D102)/2000</f>
        <v>14.5854</v>
      </c>
      <c r="F102" s="41">
        <f>'Biomass Data Assumptions'!E64*B102*365/2000</f>
        <v>10.95</v>
      </c>
      <c r="G102" s="41">
        <f>F102+E102</f>
        <v>25.535399999999999</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v>9</v>
      </c>
      <c r="C104" s="41">
        <f>SUM(C100:C103)</f>
        <v>9</v>
      </c>
      <c r="D104" s="41">
        <f>SUM(D100:D103)</f>
        <v>353320</v>
      </c>
      <c r="E104" s="41">
        <f>SUM(E100:E103)</f>
        <v>15.8994</v>
      </c>
      <c r="F104" s="41">
        <f>SUM(F100:F103)</f>
        <v>13.6875</v>
      </c>
      <c r="G104" s="41">
        <f>SUM(G100:G103)</f>
        <v>29.5869</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547</v>
      </c>
      <c r="C106" s="41">
        <f>ROUND('Biomass Data Assumptions'!B66/1000*B106,0)</f>
        <v>547</v>
      </c>
      <c r="D106" s="41">
        <f>'Biomass Data Assumptions'!C66*C106</f>
        <v>11080852.5</v>
      </c>
      <c r="E106" s="41">
        <f>('Biomass Data Assumptions'!D66*'Energy Content Assumptions'!C50*D106)/2000</f>
        <v>387.8298375</v>
      </c>
      <c r="F106" s="41">
        <f>'Biomass Data Assumptions'!E66*B106*365/2000</f>
        <v>1497.4124999999999</v>
      </c>
      <c r="G106" s="41">
        <f>F106+E106</f>
        <v>1885.2423374999998</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289</v>
      </c>
      <c r="C108" s="41">
        <f>ROUND('Biomass Data Assumptions'!B67/1000*B108,0)</f>
        <v>29</v>
      </c>
      <c r="D108" s="41">
        <f>'Biomass Data Assumptions'!C67*C108</f>
        <v>433985</v>
      </c>
      <c r="E108" s="41">
        <f>('Biomass Data Assumptions'!D67*'Energy Content Assumptions'!C51*D108)/2000</f>
        <v>10.849625</v>
      </c>
      <c r="F108" s="41">
        <f>'Biomass Data Assumptions'!E67*B108*365/2000</f>
        <v>52.7425</v>
      </c>
      <c r="G108" s="41">
        <f>F108+E108</f>
        <v>63.592124999999996</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382</v>
      </c>
      <c r="C110" s="41">
        <f>ROUND('Biomass Data Assumptions'!B68/1000*B110,0)</f>
        <v>38</v>
      </c>
      <c r="D110" s="41">
        <f>'Biomass Data Assumptions'!C68*C110</f>
        <v>568670</v>
      </c>
      <c r="E110" s="41">
        <f>('Biomass Data Assumptions'!D68*'Energy Content Assumptions'!C52*D110)/2000</f>
        <v>14.216749999999999</v>
      </c>
      <c r="F110" s="41">
        <f>'Biomass Data Assumptions'!E68*B110*365/2000</f>
        <v>69.715000000000003</v>
      </c>
      <c r="G110" s="41">
        <f>F110+E110</f>
        <v>83.931750000000008</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t="s">
        <v>548</v>
      </c>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662</v>
      </c>
      <c r="C115" s="41">
        <f>ROUND('Biomass Data Assumptions'!$B$71/1000*B115,0)</f>
        <v>265</v>
      </c>
      <c r="D115" s="41">
        <f>'Biomass Data Assumptions'!$C$71*C115</f>
        <v>4546075</v>
      </c>
      <c r="E115" s="41">
        <f>('Biomass Data Assumptions'!$D$71*'Energy Content Assumptions'!$C$55*D115)/2000</f>
        <v>113.651875</v>
      </c>
      <c r="F115" s="41">
        <f>'Biomass Data Assumptions'!$E$71*B115*365/2000</f>
        <v>0</v>
      </c>
      <c r="G115" s="41">
        <f>F115+E115</f>
        <v>113.651875</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368+647+1146</f>
        <v>2161</v>
      </c>
      <c r="C117" s="41">
        <f>ROUND('Biomass Data Assumptions'!B72/1000*B117,0)</f>
        <v>11</v>
      </c>
      <c r="D117" s="41">
        <f>'Biomass Data Assumptions'!C72*C117</f>
        <v>200750</v>
      </c>
      <c r="E117" s="41">
        <f>('Biomass Data Assumptions'!D72*'Energy Content Assumptions'!C56*D117)/2000</f>
        <v>19.573125000000001</v>
      </c>
      <c r="F117" s="41">
        <f>'Biomass Data Assumptions'!E72*B117*365/2000</f>
        <v>0</v>
      </c>
      <c r="G117" s="41">
        <f>F117+E117</f>
        <v>19.573125000000001</v>
      </c>
      <c r="H117" s="150" t="s">
        <v>610</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127</v>
      </c>
      <c r="C119" s="41">
        <f>ROUND('Biomass Data Assumptions'!B73/1000*B119,0)</f>
        <v>3</v>
      </c>
      <c r="D119" s="41">
        <f>'Biomass Data Assumptions'!C73*C119</f>
        <v>40515</v>
      </c>
      <c r="E119" s="41">
        <f>('Biomass Data Assumptions'!D73*'Energy Content Assumptions'!C57*D119)/2000</f>
        <v>3.7982812500000001</v>
      </c>
      <c r="F119" s="41">
        <f>'Biomass Data Assumptions'!E73*B119*365/2000</f>
        <v>2.3177500000000002</v>
      </c>
      <c r="G119" s="41">
        <f>F119+E119</f>
        <v>6.1160312500000007</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4306</v>
      </c>
      <c r="C121" s="48">
        <f t="shared" si="14"/>
        <v>1031</v>
      </c>
      <c r="D121" s="48">
        <f t="shared" si="14"/>
        <v>21555987.5</v>
      </c>
      <c r="E121" s="48">
        <f t="shared" si="14"/>
        <v>617.80073374999995</v>
      </c>
      <c r="F121" s="48">
        <f t="shared" si="14"/>
        <v>1730.0452499999999</v>
      </c>
      <c r="G121" s="48">
        <f t="shared" si="14"/>
        <v>2347.84598375</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128331.15</v>
      </c>
      <c r="C124" s="543">
        <f>B124*'Energy Content Assumptions'!C33</f>
        <v>115498.035</v>
      </c>
      <c r="D124" s="36"/>
      <c r="E124" s="36"/>
      <c r="F124" s="36"/>
      <c r="G124" s="36"/>
      <c r="H124" s="36"/>
      <c r="I124" s="36"/>
      <c r="J124" s="36"/>
      <c r="K124" s="36"/>
      <c r="L124" s="36"/>
      <c r="M124" s="36"/>
      <c r="N124" s="36"/>
      <c r="O124" s="36"/>
      <c r="P124" s="36"/>
      <c r="Q124" s="36"/>
      <c r="R124" s="36"/>
    </row>
    <row r="125" spans="1:18" x14ac:dyDescent="0.25">
      <c r="A125" s="50" t="s">
        <v>556</v>
      </c>
      <c r="B125" s="87">
        <v>29830.76</v>
      </c>
      <c r="C125" s="543">
        <f>B125*'Energy Content Assumptions'!C34</f>
        <v>26847.683999999997</v>
      </c>
      <c r="D125" s="36"/>
      <c r="E125" s="36"/>
      <c r="F125" s="36"/>
      <c r="G125" s="36"/>
      <c r="H125" s="36"/>
      <c r="I125" s="36"/>
      <c r="J125" s="36"/>
      <c r="K125" s="36"/>
      <c r="L125" s="36"/>
      <c r="M125" s="36"/>
      <c r="N125" s="36"/>
      <c r="O125" s="36"/>
      <c r="P125" s="36"/>
      <c r="Q125" s="36"/>
      <c r="R125" s="36"/>
    </row>
    <row r="126" spans="1:18" x14ac:dyDescent="0.25">
      <c r="A126" s="50" t="s">
        <v>557</v>
      </c>
      <c r="B126" s="87">
        <v>25651.77</v>
      </c>
      <c r="C126" s="543">
        <f>B126*'Energy Content Assumptions'!C35</f>
        <v>23086.593000000001</v>
      </c>
      <c r="D126" s="36"/>
      <c r="E126" s="36"/>
      <c r="F126" s="36"/>
      <c r="G126" s="36"/>
      <c r="H126" s="36"/>
      <c r="I126" s="36"/>
      <c r="J126" s="36"/>
      <c r="K126" s="36"/>
      <c r="L126" s="36"/>
      <c r="M126" s="36"/>
      <c r="N126" s="36"/>
      <c r="O126" s="36"/>
      <c r="P126" s="36"/>
      <c r="Q126" s="36"/>
      <c r="R126" s="36"/>
    </row>
    <row r="127" spans="1:18" x14ac:dyDescent="0.25">
      <c r="A127" s="50" t="s">
        <v>558</v>
      </c>
      <c r="B127" s="87">
        <v>20429.599999999999</v>
      </c>
      <c r="C127" s="543">
        <f>B127*'Energy Content Assumptions'!C36</f>
        <v>18386.64</v>
      </c>
      <c r="D127" s="36"/>
      <c r="E127" s="36"/>
      <c r="F127" s="36"/>
      <c r="G127" s="36"/>
      <c r="H127" s="36"/>
      <c r="I127" s="36"/>
      <c r="J127" s="36"/>
      <c r="K127" s="36"/>
      <c r="L127" s="36"/>
      <c r="M127" s="36"/>
      <c r="N127" s="36"/>
      <c r="O127" s="36"/>
      <c r="P127" s="36"/>
      <c r="Q127" s="36"/>
      <c r="R127" s="36"/>
    </row>
    <row r="128" spans="1:18" x14ac:dyDescent="0.25">
      <c r="A128" s="50" t="s">
        <v>559</v>
      </c>
      <c r="B128" s="87">
        <v>51356.21</v>
      </c>
      <c r="C128" s="543">
        <f>B128*'Energy Content Assumptions'!C21</f>
        <v>25678.105</v>
      </c>
      <c r="D128" s="36"/>
      <c r="E128" s="36"/>
      <c r="F128" s="36"/>
      <c r="G128" s="36"/>
      <c r="H128" s="36"/>
      <c r="I128" s="36"/>
      <c r="J128" s="36"/>
      <c r="K128" s="36"/>
      <c r="L128" s="36"/>
      <c r="M128" s="36"/>
      <c r="N128" s="36"/>
      <c r="O128" s="36"/>
      <c r="P128" s="36"/>
      <c r="Q128" s="36"/>
      <c r="R128" s="36"/>
    </row>
    <row r="129" spans="1:18" x14ac:dyDescent="0.25">
      <c r="A129" s="50" t="s">
        <v>560</v>
      </c>
      <c r="B129" s="87">
        <v>6105.23</v>
      </c>
      <c r="C129" s="543">
        <f>B129*'Energy Content Assumptions'!C22</f>
        <v>2035.0766666666664</v>
      </c>
      <c r="D129" s="36"/>
      <c r="E129" s="36"/>
      <c r="F129" s="36"/>
      <c r="G129" s="36"/>
      <c r="H129" s="36"/>
      <c r="I129" s="36"/>
      <c r="J129" s="36"/>
      <c r="K129" s="36"/>
      <c r="L129" s="36"/>
      <c r="M129" s="36"/>
      <c r="N129" s="36"/>
      <c r="O129" s="36"/>
      <c r="P129" s="36"/>
      <c r="Q129" s="36"/>
      <c r="R129" s="36"/>
    </row>
    <row r="130" spans="1:18" x14ac:dyDescent="0.25">
      <c r="A130" s="50" t="s">
        <v>561</v>
      </c>
      <c r="B130" s="87">
        <v>18875.05</v>
      </c>
      <c r="C130" s="543">
        <f>B130*'Energy Content Assumptions'!C23</f>
        <v>6291.6833333333325</v>
      </c>
      <c r="D130" s="36"/>
      <c r="E130" s="36"/>
      <c r="F130" s="36"/>
      <c r="G130" s="36"/>
      <c r="H130" s="36"/>
      <c r="I130" s="36"/>
      <c r="J130" s="36"/>
      <c r="K130" s="36"/>
      <c r="L130" s="36"/>
      <c r="M130" s="36"/>
      <c r="N130" s="36"/>
      <c r="O130" s="36"/>
      <c r="P130" s="36"/>
      <c r="Q130" s="36"/>
      <c r="R130" s="36"/>
    </row>
    <row r="131" spans="1:18" x14ac:dyDescent="0.25">
      <c r="A131" s="50" t="s">
        <v>562</v>
      </c>
      <c r="B131" s="549">
        <v>8817.74</v>
      </c>
      <c r="C131" s="543">
        <f>B131*'Energy Content Assumptions'!C24</f>
        <v>4408.87</v>
      </c>
      <c r="D131" s="36"/>
      <c r="E131" s="36"/>
      <c r="F131" s="36"/>
      <c r="G131" s="36"/>
      <c r="H131" s="36"/>
      <c r="I131" s="36"/>
      <c r="J131" s="36"/>
      <c r="K131" s="36"/>
      <c r="L131" s="36"/>
      <c r="M131" s="36"/>
      <c r="N131" s="36"/>
      <c r="O131" s="36"/>
      <c r="P131" s="36"/>
      <c r="Q131" s="36"/>
      <c r="R131" s="36"/>
    </row>
    <row r="132" spans="1:18" x14ac:dyDescent="0.25">
      <c r="A132" s="50" t="s">
        <v>563</v>
      </c>
      <c r="B132" s="87">
        <v>6134.95</v>
      </c>
      <c r="C132" s="543">
        <f>B132*'Energy Content Assumptions'!C31</f>
        <v>1533.7375</v>
      </c>
      <c r="D132" s="36"/>
      <c r="E132" s="36"/>
      <c r="F132" s="36"/>
      <c r="G132" s="36"/>
      <c r="H132" s="36"/>
      <c r="I132" s="36"/>
      <c r="J132" s="36"/>
      <c r="K132" s="36"/>
      <c r="L132" s="36"/>
      <c r="M132" s="36"/>
      <c r="N132" s="36"/>
      <c r="O132" s="36"/>
      <c r="P132" s="36"/>
      <c r="Q132" s="36"/>
      <c r="R132" s="36"/>
    </row>
    <row r="133" spans="1:18" x14ac:dyDescent="0.25">
      <c r="A133" s="50" t="s">
        <v>564</v>
      </c>
      <c r="B133" s="87">
        <v>0</v>
      </c>
      <c r="C133" s="543">
        <f>B133*'Energy Content Assumptions'!C19</f>
        <v>0</v>
      </c>
      <c r="D133" s="36"/>
      <c r="E133" s="36"/>
      <c r="F133" s="36"/>
      <c r="G133" s="36"/>
      <c r="H133" s="36"/>
      <c r="I133" s="36"/>
      <c r="J133" s="36"/>
      <c r="K133" s="36"/>
      <c r="L133" s="36"/>
      <c r="M133" s="36"/>
      <c r="N133" s="36"/>
      <c r="O133" s="36"/>
      <c r="P133" s="36"/>
      <c r="Q133" s="36"/>
      <c r="R133" s="36"/>
    </row>
    <row r="134" spans="1:18" x14ac:dyDescent="0.25">
      <c r="A134" s="50" t="s">
        <v>565</v>
      </c>
      <c r="B134" s="87">
        <v>14725.11</v>
      </c>
      <c r="C134" s="543">
        <f>B134*'Energy Content Assumptions'!C32</f>
        <v>11780.088000000002</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Assumptions'!$M$18</f>
        <v>926784.99</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Assumptions'!$F$18</f>
        <v>553312.05000000005</v>
      </c>
      <c r="C138" s="543">
        <f>B138*'Energy Content Assumptions'!$C$28</f>
        <v>276656.02500000002</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Assumptions'!$H$18</f>
        <v>18671.900000000001</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Assumptions'!$I$18</f>
        <v>534640.15</v>
      </c>
      <c r="C140" s="543">
        <f>B140*'Energy Content Assumptions'!$C$28</f>
        <v>267320.07500000001</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Assumptions'!J18,'Biomass Data Assumptions'!F18*'Biomass Data Assumptions'!I41)</f>
        <v>84580.071730000011</v>
      </c>
      <c r="C141" s="543">
        <f>B141*'Energy Content Assumptions'!C26</f>
        <v>25374.021519000002</v>
      </c>
      <c r="D141" s="150"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Assumptions'!K18,'Biomass Data Assumptions'!F18*'Biomass Data Assumptions'!I42)</f>
        <v>103987.50917500001</v>
      </c>
      <c r="C142" s="543">
        <f>B142*'Energy Content Assumptions'!C27</f>
        <v>93588.758257500012</v>
      </c>
      <c r="D142" s="150"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Assumptions'!L18,'Biomass Data Assumptions'!F18*'Biomass Data Assumptions'!I43)</f>
        <v>143978.59239499999</v>
      </c>
      <c r="C143" s="543">
        <f>B143*'Energy Content Assumptions'!$C$28</f>
        <v>71989.296197499993</v>
      </c>
      <c r="D143" s="547" t="s">
        <v>1064</v>
      </c>
      <c r="E143" s="36"/>
      <c r="F143" s="36"/>
      <c r="G143" s="36"/>
      <c r="H143" s="36"/>
      <c r="I143" s="36"/>
      <c r="J143" s="36"/>
      <c r="K143" s="36"/>
      <c r="L143" s="36"/>
      <c r="M143" s="36"/>
      <c r="N143" s="36"/>
      <c r="O143" s="36"/>
      <c r="P143" s="36"/>
      <c r="Q143" s="36"/>
      <c r="R143" s="36"/>
    </row>
    <row r="144" spans="1:18" x14ac:dyDescent="0.25">
      <c r="A144" s="50" t="s">
        <v>463</v>
      </c>
      <c r="B144" s="87">
        <v>98148.43</v>
      </c>
      <c r="C144" s="543">
        <f>B144*'Energy Content Assumptions'!C29</f>
        <v>78518.743999999992</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31407.497599999999</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Assumptions'!R18/2000</f>
        <v>3563.3752000000004</v>
      </c>
      <c r="C148" s="1239">
        <f>B148*'Energy Content Assumptions'!C39</f>
        <v>3028.8689200000003</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Assumptions'!S18/2000</f>
        <v>5413.9007299999994</v>
      </c>
      <c r="C149" s="1239">
        <f>B149*'Energy Content Assumptions'!C40</f>
        <v>270.69503649999996</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S199"/>
  <sheetViews>
    <sheetView topLeftCell="A110"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439</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72" t="s">
        <v>523</v>
      </c>
      <c r="F3" s="1210"/>
      <c r="G3" s="1210"/>
      <c r="H3" s="1075"/>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745.98719999999992</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1652.6328000000001</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5848.5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1180.98</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9428.0999999999985</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320.45</v>
      </c>
      <c r="D15" s="294">
        <f>E15*'Conversion Tables'!C14</f>
        <v>4033.0555199999999</v>
      </c>
      <c r="E15" s="294">
        <f>C15*'Prac. Rec. Assumptions'!B11</f>
        <v>256.36</v>
      </c>
      <c r="F15" s="294">
        <f>$E15</f>
        <v>256.36</v>
      </c>
      <c r="G15" s="294">
        <f>$E15</f>
        <v>256.36</v>
      </c>
      <c r="H15" s="294">
        <f>$E15</f>
        <v>256.36</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5945.9624999999996</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4594.25</v>
      </c>
      <c r="D17" s="294">
        <f>E17*'Conversion Tables'!C16</f>
        <v>61435.229849999996</v>
      </c>
      <c r="E17" s="294">
        <f>C17*'Prac. Rec. Assumptions'!B13</f>
        <v>3905.1124999999997</v>
      </c>
      <c r="F17" s="294">
        <f t="shared" si="2"/>
        <v>3905.1124999999997</v>
      </c>
      <c r="G17" s="294">
        <f t="shared" si="2"/>
        <v>3905.1124999999997</v>
      </c>
      <c r="H17" s="294">
        <f t="shared" si="2"/>
        <v>3905.1124999999997</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1130.7799999999997</v>
      </c>
      <c r="D18" s="294">
        <f>E18*'Conversion Tables'!C17</f>
        <v>13342.073219999997</v>
      </c>
      <c r="E18" s="294">
        <f>C18*'Prac. Rec. Assumptions'!B14</f>
        <v>848.08499999999981</v>
      </c>
      <c r="F18" s="294">
        <f t="shared" si="2"/>
        <v>848.08499999999981</v>
      </c>
      <c r="G18" s="294">
        <f t="shared" si="2"/>
        <v>848.08499999999981</v>
      </c>
      <c r="H18" s="294">
        <f t="shared" si="2"/>
        <v>848.08499999999981</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4966.72</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4619.665</v>
      </c>
      <c r="D20" s="294">
        <f>E20*'Conversion Tables'!C19</f>
        <v>36033.387000000002</v>
      </c>
      <c r="E20" s="294">
        <f>C20*'Prac. Rec. Assumptions'!B16</f>
        <v>2309.8325</v>
      </c>
      <c r="F20" s="294">
        <f t="shared" si="2"/>
        <v>2309.8325</v>
      </c>
      <c r="G20" s="294">
        <f t="shared" si="2"/>
        <v>2309.8325</v>
      </c>
      <c r="H20" s="294">
        <f t="shared" si="2"/>
        <v>2309.8325</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1084.3875</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Assumptions'!P19*1000*'Energy Content Assumptions'!C18</f>
        <v>39485.5</v>
      </c>
      <c r="D22" s="294">
        <f>E22*'Conversion Tables'!C21</f>
        <v>307986.89999999997</v>
      </c>
      <c r="E22" s="294">
        <f>C22*'Prac. Rec. Assumptions'!B18</f>
        <v>19742.75</v>
      </c>
      <c r="F22" s="294">
        <f t="shared" si="2"/>
        <v>19742.75</v>
      </c>
      <c r="G22" s="294">
        <f t="shared" si="2"/>
        <v>19742.75</v>
      </c>
      <c r="H22" s="294">
        <f t="shared" si="2"/>
        <v>19742.75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8.33</v>
      </c>
      <c r="D23" s="294">
        <f>E23*'Conversion Tables'!C22</f>
        <v>136.07888</v>
      </c>
      <c r="E23" s="294">
        <f>C23*'Prac. Rec. Assumptions'!B19</f>
        <v>8.33</v>
      </c>
      <c r="F23" s="297">
        <f t="shared" si="2"/>
        <v>8.33</v>
      </c>
      <c r="G23" s="297">
        <f t="shared" si="2"/>
        <v>8.33</v>
      </c>
      <c r="H23" s="297">
        <f t="shared" si="2"/>
        <v>8.33</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30611.919999999998</v>
      </c>
      <c r="D25" s="294">
        <f>E25*'Conversion Tables'!C24</f>
        <v>541830.98399999994</v>
      </c>
      <c r="E25" s="294">
        <f>C25*'Prac. Rec. Assumptions'!B21</f>
        <v>30611.919999999998</v>
      </c>
      <c r="F25" s="294">
        <f>($C25*(1+'Biomass Data Assumptions'!G$104))*'Prac. Rec. Assumptions'!$B21</f>
        <v>31227.11515189282</v>
      </c>
      <c r="G25" s="294">
        <f>($C25*(1+'Biomass Data Assumptions'!H$104))*'Prac. Rec. Assumptions'!$B21</f>
        <v>31994.916853092382</v>
      </c>
      <c r="H25" s="294">
        <f>($C25*(1+'Biomass Data Assumptions'!I$104))*'Prac. Rec. Assumptions'!$B21</f>
        <v>32676.877370306902</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30.886666666666663</v>
      </c>
      <c r="D26" s="294">
        <f>E26*'Conversion Tables'!C25</f>
        <v>481.83199999999994</v>
      </c>
      <c r="E26" s="294">
        <f>C26*'Prac. Rec. Assumptions'!B22</f>
        <v>30.886666666666663</v>
      </c>
      <c r="F26" s="294">
        <f>($C26*(1+'Biomass Data Assumptions'!G$104))*'Prac. Rec. Assumptions'!$B22</f>
        <v>31.507383289193537</v>
      </c>
      <c r="G26" s="294">
        <f>($C26*(1+'Biomass Data Assumptions'!H$104))*'Prac. Rec. Assumptions'!$B22</f>
        <v>32.282076128161187</v>
      </c>
      <c r="H26" s="294">
        <f>($C26*(1+'Biomass Data Assumptions'!I$104))*'Prac. Rec. Assumptions'!$B22</f>
        <v>32.970157345380898</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30994.22</v>
      </c>
      <c r="D27" s="294">
        <f>E27*'Conversion Tables'!C26</f>
        <v>483509.83199999999</v>
      </c>
      <c r="E27" s="294">
        <f>C27*'Prac. Rec. Assumptions'!B23</f>
        <v>30994.22</v>
      </c>
      <c r="F27" s="294">
        <f>($C27*(1+'Biomass Data Assumptions'!G$104))*'Prac. Rec. Assumptions'!$B23</f>
        <v>31617.098077582181</v>
      </c>
      <c r="G27" s="294">
        <f>($C27*(1+'Biomass Data Assumptions'!H$104))*'Prac. Rec. Assumptions'!$B23</f>
        <v>32394.488546502573</v>
      </c>
      <c r="H27" s="294">
        <f>($C27*(1+'Biomass Data Assumptions'!I$104))*'Prac. Rec. Assumptions'!$B23</f>
        <v>33084.965795295218</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1490.0550000000001</v>
      </c>
      <c r="D28" s="294">
        <f>E28*'Conversion Tables'!C27</f>
        <v>26373.9735</v>
      </c>
      <c r="E28" s="294">
        <f>C28*'Prac. Rec. Assumptions'!B24</f>
        <v>1490.0550000000001</v>
      </c>
      <c r="F28" s="294">
        <f>($C28*(1+'Biomass Data Assumptions'!G$104))*'Prac. Rec. Assumptions'!$B24</f>
        <v>1520.0000218102509</v>
      </c>
      <c r="G28" s="294">
        <f>($C28*(1+'Biomass Data Assumptions'!H$104))*'Prac. Rec. Assumptions'!$B24</f>
        <v>1557.3732660850601</v>
      </c>
      <c r="H28" s="294">
        <f>($C28*(1+'Biomass Data Assumptions'!I$104))*'Prac. Rec. Assumptions'!$B24</f>
        <v>1590.5681352235551</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125283.12666666666</v>
      </c>
      <c r="D29" s="295">
        <f>SUM(D13:D28)</f>
        <v>1475163.3459700001</v>
      </c>
      <c r="E29" s="295">
        <f t="shared" si="3"/>
        <v>90197.551666666666</v>
      </c>
      <c r="F29" s="295">
        <f>SUM(F13:F28)</f>
        <v>91466.19063457445</v>
      </c>
      <c r="G29" s="295">
        <f>SUM(G13:G28)</f>
        <v>93049.530741808179</v>
      </c>
      <c r="H29" s="295">
        <f>SUM(H13:H28)</f>
        <v>94455.851458171062</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20395.677292200002</v>
      </c>
      <c r="D32" s="294">
        <f>E32*'Conversion Tables'!C29</f>
        <v>195798.50200512004</v>
      </c>
      <c r="E32" s="294">
        <f>C32*'Prac. Rec. Assumptions'!B26</f>
        <v>12237.406375320003</v>
      </c>
      <c r="F32" s="294">
        <f>($C32*(1+'Biomass Data Assumptions'!G$104)*(1+'Biomass Data Assumptions'!C$82))*'Prac. Rec. Assumptions'!$B26</f>
        <v>12474.860562887779</v>
      </c>
      <c r="G32" s="294">
        <f>($C32*(1+'Biomass Data Assumptions'!H$104)*(1+'Biomass Data Assumptions'!D$82))*'Prac. Rec. Assumptions'!$B26</f>
        <v>12772.909760930796</v>
      </c>
      <c r="H32" s="294">
        <f>($C32*(1+'Biomass Data Assumptions'!I$104)*(1+'Biomass Data Assumptions'!E$82))*'Prac. Rec. Assumptions'!$B26</f>
        <v>13036.3024907819</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75226.786978500008</v>
      </c>
      <c r="D33" s="294">
        <f>E33*'Conversion Tables'!C30</f>
        <v>873954.72040142177</v>
      </c>
      <c r="E33" s="294">
        <f>C33*'Prac. Rec. Assumptions'!B27</f>
        <v>60181.42958280001</v>
      </c>
      <c r="F33" s="294">
        <f>($C33*(1+'Biomass Data Assumptions'!G$104)*(1+'Biomass Data Assumptions'!C$82))*'Prac. Rec. Assumptions'!$B27</f>
        <v>61349.187850358343</v>
      </c>
      <c r="G33" s="294">
        <f>($C33*(1+'Biomass Data Assumptions'!H$104)*(1+'Biomass Data Assumptions'!D$82))*'Prac. Rec. Assumptions'!$B27</f>
        <v>62814.941807864467</v>
      </c>
      <c r="H33" s="294">
        <f>($C33*(1+'Biomass Data Assumptions'!I$104)*(1+'Biomass Data Assumptions'!E$82))*'Prac. Rec. Assumptions'!$B27</f>
        <v>64110.261301063947</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57865.106350499998</v>
      </c>
      <c r="D34" s="294">
        <f>E34*'Conversion Tables'!C31</f>
        <v>605028.29358381196</v>
      </c>
      <c r="E34" s="294">
        <f>C34*'Prac. Rec. Assumptions'!B28</f>
        <v>41662.876572360001</v>
      </c>
      <c r="F34" s="294">
        <f>($C34*(1+'Biomass Data Assumptions'!G$104)*(1+'Biomass Data Assumptions'!C$82))*'Prac. Rec. Assumptions'!$B28</f>
        <v>42471.301511829057</v>
      </c>
      <c r="G34" s="294">
        <f>($C34*(1+'Biomass Data Assumptions'!H$104)*(1+'Biomass Data Assumptions'!D$82))*'Prac. Rec. Assumptions'!$B28</f>
        <v>43486.025266986886</v>
      </c>
      <c r="H34" s="294">
        <f>($C34*(1+'Biomass Data Assumptions'!I$104)*(1+'Biomass Data Assumptions'!E$82))*'Prac. Rec. Assumptions'!$B28</f>
        <v>44382.759301739126</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64421.347200000011</v>
      </c>
      <c r="D35" s="294">
        <f>E35*'Conversion Tables'!C32</f>
        <v>729765.02108160022</v>
      </c>
      <c r="E35" s="294">
        <f>C35*'Prac. Rec. Assumptions'!B29</f>
        <v>41229.662208000016</v>
      </c>
      <c r="F35" s="294">
        <f>($C35*(1+'Biomass Data Assumptions'!G$104)*(1+'Biomass Data Assumptions'!C$83))*'Prac. Rec. Assumptions'!$B29</f>
        <v>44170.027849007878</v>
      </c>
      <c r="G35" s="294">
        <f>($C35*(1+'Biomass Data Assumptions'!H$104)*(1+'Biomass Data Assumptions'!D$83))*'Prac. Rec. Assumptions'!$B29</f>
        <v>47528.422013995449</v>
      </c>
      <c r="H35" s="294">
        <f>($C35*(1+'Biomass Data Assumptions'!I$104)*(1+'Biomass Data Assumptions'!E$83))*'Prac. Rec. Assumptions'!$B29</f>
        <v>50978.794251982014</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637.01</v>
      </c>
      <c r="D37" s="294">
        <f>E37*'Conversion Tables'!C34</f>
        <v>10192.16</v>
      </c>
      <c r="E37" s="294">
        <f>C37*'Prac. Rec. Assumptions'!B31</f>
        <v>637.01</v>
      </c>
      <c r="F37" s="294">
        <f>($C37*(1+'Biomass Data Assumptions'!G$104)*(1+'Biomass Data Assumptions'!C$84))*'Prac. Rec. Assumptions'!$B31</f>
        <v>710.55364907654211</v>
      </c>
      <c r="G37" s="294">
        <f>($C37*(1+'Biomass Data Assumptions'!H$104)*(1+'Biomass Data Assumptions'!D$84))*'Prac. Rec. Assumptions'!$B31</f>
        <v>796.07745392636173</v>
      </c>
      <c r="H37" s="294">
        <f>($C37*(1+'Biomass Data Assumptions'!I$104)*(1+'Biomass Data Assumptions'!E$84))*'Prac. Rec. Assumptions'!$B31</f>
        <v>889.04596584960996</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13349.304000000002</v>
      </c>
      <c r="D38" s="294">
        <f>E38*'Conversion Tables'!C35</f>
        <v>118141.34040000002</v>
      </c>
      <c r="E38" s="294">
        <f>C38*'Prac. Rec. Assumptions'!B32</f>
        <v>6674.652000000001</v>
      </c>
      <c r="F38" s="294">
        <f>($C38*(1+'Biomass Data Assumptions'!G$104)*(1+'Biomass Data Assumptions'!C$84))*'Prac. Rec. Assumptions'!$B32</f>
        <v>7445.2494229541771</v>
      </c>
      <c r="G38" s="294">
        <f>($C38*(1+'Biomass Data Assumptions'!H$104)*(1+'Biomass Data Assumptions'!D$84))*'Prac. Rec. Assumptions'!$B32</f>
        <v>8341.3760694565208</v>
      </c>
      <c r="H38" s="294">
        <f>($C38*(1+'Biomass Data Assumptions'!I$104)*(1+'Biomass Data Assumptions'!E$84))*'Prac. Rec. Assumptions'!$B32</f>
        <v>9315.5090721496235</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44154.927000000003</v>
      </c>
      <c r="D39" s="299">
        <f>E39*'Conversion Tables'!C36</f>
        <v>0</v>
      </c>
      <c r="E39" s="299">
        <f>C39*'Prac. Rec. Assumptions'!B33</f>
        <v>0</v>
      </c>
      <c r="F39" s="294">
        <f>($C39*(1+'Biomass Data Assumptions'!G$104)*(1+'Biomass Data Assumptions'!C$82))*'Prac. Rec. Assumptions'!$B33</f>
        <v>0</v>
      </c>
      <c r="G39" s="294">
        <f>($C39*(1+'Biomass Data Assumptions'!H$104)*(1+'Biomass Data Assumptions'!D$82))*'Prac. Rec. Assumptions'!$B33</f>
        <v>0</v>
      </c>
      <c r="H39" s="294">
        <f>($C39*(1+'Biomass Data Assumptions'!I$104)*(1+'Biomass Data Assumptions'!E$82))*'Prac.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14193.198</v>
      </c>
      <c r="D40" s="299">
        <f>E40*'Conversion Tables'!C37</f>
        <v>0</v>
      </c>
      <c r="E40" s="299">
        <f>C40*'Prac. Rec. Assumptions'!B34</f>
        <v>0</v>
      </c>
      <c r="F40" s="294">
        <f>($C40*(1+'Biomass Data Assumptions'!G$104)*(1+'Biomass Data Assumptions'!C$84))*'Prac. Rec. Assumptions'!$B34</f>
        <v>0</v>
      </c>
      <c r="G40" s="294">
        <f>($C40*(1+'Biomass Data Assumptions'!H$104)*(1+'Biomass Data Assumptions'!D$84))*'Prac. Rec. Assumptions'!$B34</f>
        <v>0</v>
      </c>
      <c r="H40" s="294">
        <f>($C40*(1+'Biomass Data Assumptions'!I$104)*(1+'Biomass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17430.021000000001</v>
      </c>
      <c r="D41" s="299">
        <f>E41*'Conversion Tables'!C38</f>
        <v>0</v>
      </c>
      <c r="E41" s="299">
        <f>C41*'Prac. Rec. Assumptions'!B35</f>
        <v>0</v>
      </c>
      <c r="F41" s="294">
        <f>($C41*(1+'Biomass Data Assumptions'!G$104)*(1+'Biomass Data Assumptions'!C$84))*'Prac. Rec. Assumptions'!$B35</f>
        <v>0</v>
      </c>
      <c r="G41" s="294">
        <f>($C41*(1+'Biomass Data Assumptions'!H$104)*(1+'Biomass Data Assumptions'!D$84))*'Prac. Rec. Assumptions'!$B35</f>
        <v>0</v>
      </c>
      <c r="H41" s="294">
        <f>($C41*(1+'Biomass Data Assumptions'!I$104)*(1+'Biomass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10212.687</v>
      </c>
      <c r="D42" s="299">
        <f>E42*'Conversion Tables'!C39</f>
        <v>148308.640614</v>
      </c>
      <c r="E42" s="299">
        <f>C42*'Prac. Rec. Assumptions'!B36</f>
        <v>10212.687</v>
      </c>
      <c r="F42" s="294">
        <f>($C42*(1+'Biomass Data Assumptions'!G$104)*(1+'Biomass Data Assumptions'!C$84))*'Prac. Rec. Assumptions'!$B36</f>
        <v>11391.755254590294</v>
      </c>
      <c r="G42" s="294">
        <f>($C42*(1+'Biomass Data Assumptions'!H$104)*(1+'Biomass Data Assumptions'!D$84))*'Prac. Rec. Assumptions'!$B36</f>
        <v>12762.892049900085</v>
      </c>
      <c r="H42" s="294">
        <f>($C42*(1+'Biomass Data Assumptions'!I$104)*(1+'Biomass Data Assumptions'!E$84))*'Prac. Rec. Assumptions'!$B36</f>
        <v>14253.384056505793</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317886.06482119998</v>
      </c>
      <c r="D43" s="295">
        <f t="shared" si="4"/>
        <v>2681188.6780859544</v>
      </c>
      <c r="E43" s="295">
        <f t="shared" si="4"/>
        <v>172835.72373848004</v>
      </c>
      <c r="F43" s="295">
        <f t="shared" si="4"/>
        <v>180012.93610070407</v>
      </c>
      <c r="G43" s="295">
        <f t="shared" si="4"/>
        <v>188502.64442306053</v>
      </c>
      <c r="H43" s="295">
        <f t="shared" si="4"/>
        <v>196966.05644007202</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4920.96</v>
      </c>
      <c r="D46" s="294">
        <f>E46*'Conversion Tables'!C41</f>
        <v>0</v>
      </c>
      <c r="E46" s="294">
        <f>C46*'Prac. Rec. Assumptions'!B38</f>
        <v>4920.96</v>
      </c>
      <c r="F46" s="294">
        <f>$E46</f>
        <v>4920.96</v>
      </c>
      <c r="G46" s="294">
        <f>$E46</f>
        <v>4920.96</v>
      </c>
      <c r="H46" s="294">
        <f>$E46</f>
        <v>4920.96</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2357.6212</v>
      </c>
      <c r="D47" s="294"/>
      <c r="E47" s="294">
        <f>C47*'Prac. Rec. Assumptions'!B39</f>
        <v>1178.8106</v>
      </c>
      <c r="F47" s="294">
        <f>($C47*(1+'Biomass Data Assumptions'!G$104))*'Prac. Rec. Assumptions'!$B39</f>
        <v>1202.5006712572053</v>
      </c>
      <c r="G47" s="294">
        <f>($C47*(1+'Biomass Data Assumptions'!H$104))*'Prac. Rec. Assumptions'!$B39</f>
        <v>1232.0673493379031</v>
      </c>
      <c r="H47" s="294">
        <f>($C47*(1+'Biomass Data Assumptions'!I$104))*'Prac. Rec. Assumptions'!$B39</f>
        <v>1258.3284360803864</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210.70451500000001</v>
      </c>
      <c r="D48" s="294"/>
      <c r="E48" s="294">
        <f>C48*'Prac. Rec. Assumptions'!B40</f>
        <v>210.70451500000001</v>
      </c>
      <c r="F48" s="294">
        <f>($C48*(1+'Biomass Data Assumptions'!G$104))*'Prac. Rec. Assumptions'!$B40</f>
        <v>214.93895688113417</v>
      </c>
      <c r="G48" s="294">
        <f>($C48*(1+'Biomass Data Assumptions'!H$104))*'Prac. Rec. Assumptions'!$B40</f>
        <v>220.22380294983643</v>
      </c>
      <c r="H48" s="294">
        <f>($C48*(1+'Biomass Data Assumptions'!I$104))*'Prac. Rec. Assumptions'!$B40</f>
        <v>224.91779666303165</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7489.2857150000009</v>
      </c>
      <c r="D49" s="295">
        <f>SUM(D45:D48)</f>
        <v>0</v>
      </c>
      <c r="E49" s="295">
        <f t="shared" si="6"/>
        <v>6310.4751150000002</v>
      </c>
      <c r="F49" s="295">
        <f>SUM(F45:F48)</f>
        <v>6338.3996281383397</v>
      </c>
      <c r="G49" s="295">
        <f>SUM(G45:G48)</f>
        <v>6373.2511522877394</v>
      </c>
      <c r="H49" s="295">
        <f>SUM(H45:H48)</f>
        <v>6404.2062327434178</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821.39599999999996</v>
      </c>
      <c r="D52" s="299">
        <f>E52*'Conversion Tables'!C45</f>
        <v>2425.4181088</v>
      </c>
      <c r="E52" s="299">
        <f>C52*'Prac. Rec. Assumptions'!B42</f>
        <v>164.2792</v>
      </c>
      <c r="F52" s="294">
        <f t="shared" ref="F52:H59" si="7">$E52</f>
        <v>164.2792</v>
      </c>
      <c r="G52" s="294">
        <f t="shared" si="7"/>
        <v>164.2792</v>
      </c>
      <c r="H52" s="294">
        <f t="shared" si="7"/>
        <v>164.2792</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57.542250000000003</v>
      </c>
      <c r="D53" s="299">
        <f>E53*'Conversion Tables'!C46</f>
        <v>509.73226740000001</v>
      </c>
      <c r="E53" s="299">
        <f>C53*'Prac. Rec. Assumptions'!B43</f>
        <v>34.525350000000003</v>
      </c>
      <c r="F53" s="294">
        <f t="shared" si="7"/>
        <v>34.525350000000003</v>
      </c>
      <c r="G53" s="294">
        <f t="shared" si="7"/>
        <v>34.525350000000003</v>
      </c>
      <c r="H53" s="294">
        <f t="shared" si="7"/>
        <v>34.525350000000003</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25545.550649999997</v>
      </c>
      <c r="D54" s="299">
        <f>E54*'Conversion Tables'!C47</f>
        <v>226292.70587795996</v>
      </c>
      <c r="E54" s="299">
        <f>C54*'Prac. Rec. Assumptions'!B44</f>
        <v>15327.330389999997</v>
      </c>
      <c r="F54" s="294">
        <f t="shared" si="7"/>
        <v>15327.330389999997</v>
      </c>
      <c r="G54" s="294">
        <f t="shared" si="7"/>
        <v>15327.330389999997</v>
      </c>
      <c r="H54" s="294">
        <f t="shared" si="7"/>
        <v>15327.330389999997</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225.597375</v>
      </c>
      <c r="D55" s="299">
        <f>E55*'Conversion Tables'!C48</f>
        <v>666.14392889999999</v>
      </c>
      <c r="E55" s="299">
        <f>C55*'Prac. Rec. Assumptions'!B45</f>
        <v>45.119475000000001</v>
      </c>
      <c r="F55" s="294">
        <f t="shared" si="7"/>
        <v>45.119475000000001</v>
      </c>
      <c r="G55" s="294">
        <f t="shared" si="7"/>
        <v>45.119475000000001</v>
      </c>
      <c r="H55" s="294">
        <f t="shared" si="7"/>
        <v>45.119475000000001</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323.63637499999999</v>
      </c>
      <c r="D56" s="299">
        <f>E56*'Conversion Tables'!C49</f>
        <v>955.63348810000002</v>
      </c>
      <c r="E56" s="299">
        <f>C56*'Prac. Rec. Assumptions'!B46</f>
        <v>64.727275000000006</v>
      </c>
      <c r="F56" s="294">
        <f t="shared" si="7"/>
        <v>64.727275000000006</v>
      </c>
      <c r="G56" s="294">
        <f t="shared" si="7"/>
        <v>64.727275000000006</v>
      </c>
      <c r="H56" s="294">
        <f t="shared" si="7"/>
        <v>64.727275000000006</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38.169874999999998</v>
      </c>
      <c r="D57" s="299">
        <f>E57*'Conversion Tables'!C50</f>
        <v>281.77001724999997</v>
      </c>
      <c r="E57" s="299">
        <f>C57*'Prac. Rec. Assumptions'!B47</f>
        <v>19.084937499999999</v>
      </c>
      <c r="F57" s="294">
        <f t="shared" si="7"/>
        <v>19.084937499999999</v>
      </c>
      <c r="G57" s="294">
        <f t="shared" si="7"/>
        <v>19.084937499999999</v>
      </c>
      <c r="H57" s="294">
        <f t="shared" si="7"/>
        <v>19.084937499999999</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1418.161875</v>
      </c>
      <c r="D58" s="299">
        <f>E58*'Conversion Tables'!C51</f>
        <v>17017.942500000001</v>
      </c>
      <c r="E58" s="299">
        <f>C58*'Prac. Rec. Assumptions'!B48</f>
        <v>1418.161875</v>
      </c>
      <c r="F58" s="294">
        <f t="shared" si="7"/>
        <v>1418.161875</v>
      </c>
      <c r="G58" s="294">
        <f t="shared" si="7"/>
        <v>1418.161875</v>
      </c>
      <c r="H58" s="294">
        <f t="shared" si="7"/>
        <v>1418.161875</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316.09684375000001</v>
      </c>
      <c r="D59" s="299">
        <f>E59*'Conversion Tables'!C52</f>
        <v>4666.8538011250002</v>
      </c>
      <c r="E59" s="299">
        <f>C59*'Prac. Rec. Assumptions'!B49</f>
        <v>316.09684375000001</v>
      </c>
      <c r="F59" s="294">
        <f t="shared" si="7"/>
        <v>316.09684375000001</v>
      </c>
      <c r="G59" s="294">
        <f t="shared" si="7"/>
        <v>316.09684375000001</v>
      </c>
      <c r="H59" s="294">
        <f t="shared" si="7"/>
        <v>316.09684375000001</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Assumptions'!AE19</f>
        <v>7739.7594339999987</v>
      </c>
      <c r="D60" s="299">
        <f>E60*'Conversion Tables'!C53</f>
        <v>92877.113207999981</v>
      </c>
      <c r="E60" s="299">
        <f>C60*'Prac. Rec. Assumptions'!B50</f>
        <v>7739.7594339999987</v>
      </c>
      <c r="F60" s="294">
        <f>($C60*(1+'Biomass Data Assumptions'!G$104*(4/5)))*'Prac. Rec. Assumptions'!$B50</f>
        <v>7864.1936408217462</v>
      </c>
      <c r="G60" s="294">
        <f>($C60*(1+'Biomass Data Assumptions'!H$104*(9/10)))*'Prac. Rec. Assumptions'!$B50</f>
        <v>8054.4622245084893</v>
      </c>
      <c r="H60" s="294">
        <f>($C60*(1+'Biomass Data Assumptions'!I$104*(14/15)))*'Prac. Rec. Assumptions'!$B50</f>
        <v>8227.0463601973079</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36485.910677749998</v>
      </c>
      <c r="D61" s="295">
        <f>SUM(D52:D60)</f>
        <v>345693.31319753494</v>
      </c>
      <c r="E61" s="295">
        <f t="shared" ref="E61:P61" si="8">SUM(E52:E60)</f>
        <v>25129.084780249999</v>
      </c>
      <c r="F61" s="295">
        <f>SUM(F52:F60)</f>
        <v>25253.518987071744</v>
      </c>
      <c r="G61" s="295">
        <f>SUM(G52:G60)</f>
        <v>25443.78757075849</v>
      </c>
      <c r="H61" s="295">
        <f>SUM(H52:H60)</f>
        <v>25616.371706447309</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Assumptions'!AB19</f>
        <v>175.17615090000001</v>
      </c>
      <c r="D63" s="300">
        <f>E63*'Conversion Tables'!C55</f>
        <v>108434.03740710001</v>
      </c>
      <c r="E63" s="299">
        <f>C63*'Prac. Rec. Assumptions'!B51</f>
        <v>175.17615090000001</v>
      </c>
      <c r="F63" s="294">
        <f>($C63*(1+'Biomass Data Assumptions'!G$104*(4/5)))*'Prac. Rec. Assumptions'!$B51</f>
        <v>177.99250528119333</v>
      </c>
      <c r="G63" s="294">
        <f>($C63*(1+'Biomass Data Assumptions'!H$104*(9/10)))*'Prac. Rec. Assumptions'!$B51</f>
        <v>182.29890761987852</v>
      </c>
      <c r="H63" s="294">
        <f>($C63*(1+'Biomass Data Assumptions'!I$104*(14/15)))*'Prac. Rec. Assumptions'!$B51</f>
        <v>186.20505287596509</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Assumptions'!X19</f>
        <v>222.25059699999997</v>
      </c>
      <c r="D64" s="300">
        <f>E64*'Conversion Tables'!C56</f>
        <v>112458.80208199998</v>
      </c>
      <c r="E64" s="299">
        <f>C64*'Prac. Rec. Assumptions'!B52</f>
        <v>222.25059699999997</v>
      </c>
      <c r="F64" s="545">
        <f>($C64*(1+'Biomass Data Assumptions'!G$104*(3/5))*(1+('Biomass Data Assumptions'!C$82-((1+'Biomass Data Assumptions'!$B$82)^2 - 1))))*'Prac. Rec. Assumptions'!$B52</f>
        <v>224.83886277674424</v>
      </c>
      <c r="G64" s="545">
        <f>($C64*(1+'Biomass Data Assumptions'!H$104*(4/5))*(1+('Biomass Data Assumptions'!D$82-((1+'Biomass Data Assumptions'!$B$82)^2 - 1))))*'Prac. Rec. Assumptions'!$B52</f>
        <v>230.03328059826993</v>
      </c>
      <c r="H64" s="545">
        <f>($C64*(1+'Biomass Data Assumptions'!I$104*(13/15))*(1+('Biomass Data Assumptions'!E$82-((1+'Biomass Data Assumptions'!$B$82)^2 - 1))))*'Prac. Rec. Assumptions'!$B52</f>
        <v>234.82883131017658</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397.42674790000001</v>
      </c>
      <c r="D65" s="295">
        <f>SUM(D63:D64)</f>
        <v>220892.83948909998</v>
      </c>
      <c r="E65" s="295">
        <f t="shared" ref="E65:P65" si="9">SUM(E63:E64)</f>
        <v>397.42674790000001</v>
      </c>
      <c r="F65" s="295">
        <f>SUM(F63:F64)</f>
        <v>402.83136805793754</v>
      </c>
      <c r="G65" s="295">
        <f>SUM(G63:G64)</f>
        <v>412.33218821814842</v>
      </c>
      <c r="H65" s="295">
        <f>SUM(H63:H64)</f>
        <v>421.03388418614168</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51188.939997831229</v>
      </c>
      <c r="D67" s="295">
        <f t="shared" ref="D67" si="10">D61+D65</f>
        <v>566586.15268663492</v>
      </c>
      <c r="E67" s="295">
        <f>E61+(E63*1000000/29487.1582406855)+(E64*1000000/25364.5039539246)</f>
        <v>39832.114100331222</v>
      </c>
      <c r="F67" s="295">
        <f t="shared" ref="F67:H67" si="11">F61+(F63*1000000/29487.1582406855)+(F64*1000000/25364.5039539246)</f>
        <v>40154.102355014416</v>
      </c>
      <c r="G67" s="295">
        <f t="shared" si="11"/>
        <v>40695.205083845023</v>
      </c>
      <c r="H67" s="295">
        <f t="shared" si="11"/>
        <v>41189.324013566875</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511275.51720069791</v>
      </c>
      <c r="D68" s="132"/>
      <c r="E68" s="132">
        <f>E11+E29+E43+E49+E67</f>
        <v>309175.86462047789</v>
      </c>
      <c r="F68" s="132">
        <f>F11+F29+F43+F49+F67</f>
        <v>317971.62871843128</v>
      </c>
      <c r="G68" s="132">
        <f>G11+G29+G43+G49+G67</f>
        <v>328620.63140100148</v>
      </c>
      <c r="H68" s="132">
        <f>H11+H29+H43+H49+H67</f>
        <v>339015.43814455334</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408</v>
      </c>
      <c r="C74" s="40">
        <f>'Biomass Data Assumptions'!B38*B74</f>
        <v>26642.399999999998</v>
      </c>
      <c r="D74" s="40">
        <f>(C74*'Biomass Data Assumptions'!C38)/2000</f>
        <v>745.98719999999992</v>
      </c>
      <c r="E74" s="41"/>
      <c r="F74" s="41"/>
      <c r="G74" s="41"/>
      <c r="H74" s="36"/>
      <c r="I74" s="36"/>
      <c r="J74" s="36"/>
      <c r="K74" s="36"/>
      <c r="L74" s="36"/>
      <c r="M74" s="36"/>
      <c r="N74" s="36"/>
      <c r="O74" s="36"/>
      <c r="P74" s="36"/>
      <c r="Q74" s="36"/>
      <c r="R74" s="36"/>
    </row>
    <row r="75" spans="1:19" x14ac:dyDescent="0.25">
      <c r="A75" s="39" t="s">
        <v>520</v>
      </c>
      <c r="B75" s="21">
        <v>2162</v>
      </c>
      <c r="C75" s="40">
        <f>'Biomass Data Assumptions'!B39*B75</f>
        <v>59022.6</v>
      </c>
      <c r="D75" s="40">
        <f>(C75*'Biomass Data Assumptions'!C39)/2000</f>
        <v>1652.6328000000001</v>
      </c>
      <c r="E75" s="41"/>
      <c r="F75" s="41"/>
      <c r="G75" s="41"/>
      <c r="H75" s="36"/>
      <c r="I75" s="36"/>
      <c r="J75" s="36"/>
      <c r="K75" s="36"/>
      <c r="L75" s="36"/>
      <c r="M75" s="36"/>
      <c r="N75" s="36"/>
      <c r="O75" s="36"/>
      <c r="P75" s="36"/>
      <c r="Q75" s="36"/>
      <c r="R75" s="36"/>
    </row>
    <row r="76" spans="1:19" x14ac:dyDescent="0.25">
      <c r="A76" s="39" t="s">
        <v>521</v>
      </c>
      <c r="B76" s="21">
        <v>1671</v>
      </c>
      <c r="C76" s="40">
        <f>'Biomass Data Assumptions'!B40*B76</f>
        <v>208875</v>
      </c>
      <c r="D76" s="40">
        <f>(C76*'Biomass Data Assumptions'!C40)/2000</f>
        <v>5848.5</v>
      </c>
      <c r="E76" s="41"/>
      <c r="F76" s="41"/>
      <c r="G76" s="41"/>
      <c r="H76" s="36"/>
      <c r="I76" s="36"/>
      <c r="J76" s="36"/>
      <c r="K76" s="36"/>
      <c r="L76" s="36"/>
      <c r="M76" s="36"/>
      <c r="N76" s="36"/>
      <c r="O76" s="36"/>
      <c r="P76" s="36"/>
      <c r="Q76" s="36"/>
      <c r="R76" s="36"/>
    </row>
    <row r="77" spans="1:19" x14ac:dyDescent="0.25">
      <c r="A77" s="39" t="s">
        <v>525</v>
      </c>
      <c r="B77" s="21">
        <v>5126</v>
      </c>
      <c r="C77" s="40">
        <f>'Biomass Data Assumptions'!B41*B77</f>
        <v>164032</v>
      </c>
      <c r="D77" s="40">
        <f>(C77*'Biomass Data Assumptions'!C41)/2000</f>
        <v>4920.96</v>
      </c>
      <c r="E77" s="41"/>
      <c r="F77" s="41"/>
      <c r="G77" s="41"/>
      <c r="H77" s="36"/>
      <c r="I77" s="36"/>
      <c r="J77" s="36"/>
      <c r="K77" s="36"/>
      <c r="L77" s="36"/>
      <c r="M77" s="36"/>
      <c r="N77" s="36"/>
      <c r="O77" s="36"/>
      <c r="P77" s="36"/>
      <c r="Q77" s="36"/>
      <c r="R77" s="36"/>
    </row>
    <row r="78" spans="1:19" x14ac:dyDescent="0.25">
      <c r="A78" s="39" t="s">
        <v>522</v>
      </c>
      <c r="B78" s="21">
        <v>729</v>
      </c>
      <c r="C78" s="40">
        <f>'Biomass Data Assumptions'!B42*B78</f>
        <v>39366</v>
      </c>
      <c r="D78" s="40">
        <f>(C78*'Biomass Data Assumptions'!C42)/2000</f>
        <v>1180.98</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377</v>
      </c>
      <c r="C81" s="40">
        <f>'Biomass Data Assumptions'!B49*B81</f>
        <v>377</v>
      </c>
      <c r="D81" s="40">
        <f>C81*'Energy Content Assumptions'!C11</f>
        <v>320.45</v>
      </c>
      <c r="E81" s="41"/>
      <c r="F81" s="41"/>
      <c r="G81" s="41"/>
      <c r="H81" s="36"/>
      <c r="I81" s="36"/>
      <c r="J81" s="36"/>
      <c r="K81" s="36"/>
      <c r="L81" s="36"/>
      <c r="M81" s="36"/>
      <c r="N81" s="36"/>
      <c r="O81" s="36"/>
      <c r="P81" s="36"/>
      <c r="Q81" s="36"/>
      <c r="R81" s="36"/>
    </row>
    <row r="82" spans="1:18" x14ac:dyDescent="0.25">
      <c r="A82" s="39" t="s">
        <v>520</v>
      </c>
      <c r="B82" s="21">
        <f>2162+947</f>
        <v>3109</v>
      </c>
      <c r="C82" s="40">
        <f>'Biomass Data Assumptions'!B50*B82</f>
        <v>6995.25</v>
      </c>
      <c r="D82" s="40">
        <f>C82*'Energy Content Assumptions'!C12</f>
        <v>5945.9624999999996</v>
      </c>
      <c r="E82" s="41"/>
      <c r="F82" s="41"/>
      <c r="G82" s="41"/>
      <c r="H82" s="36"/>
      <c r="I82" s="36"/>
      <c r="J82" s="36"/>
      <c r="K82" s="36"/>
      <c r="L82" s="36"/>
      <c r="M82" s="36"/>
      <c r="N82" s="36"/>
      <c r="O82" s="36"/>
      <c r="P82" s="36"/>
      <c r="Q82" s="36"/>
      <c r="R82" s="36"/>
    </row>
    <row r="83" spans="1:18" x14ac:dyDescent="0.25">
      <c r="A83" s="39" t="s">
        <v>521</v>
      </c>
      <c r="B83" s="21">
        <v>2162</v>
      </c>
      <c r="C83" s="40">
        <f>'Biomass Data Assumptions'!B51*B83</f>
        <v>5405</v>
      </c>
      <c r="D83" s="40">
        <f>C83*'Energy Content Assumptions'!C13</f>
        <v>4594.25</v>
      </c>
      <c r="E83" s="41"/>
      <c r="F83" s="41"/>
      <c r="G83" s="41"/>
      <c r="H83" s="36"/>
      <c r="I83" s="36"/>
      <c r="J83" s="36"/>
      <c r="K83" s="36"/>
      <c r="L83" s="36"/>
      <c r="M83" s="36"/>
      <c r="N83" s="36"/>
      <c r="O83" s="36"/>
      <c r="P83" s="36"/>
      <c r="Q83" s="36"/>
      <c r="R83" s="36"/>
    </row>
    <row r="84" spans="1:18" x14ac:dyDescent="0.25">
      <c r="A84" s="39" t="s">
        <v>528</v>
      </c>
      <c r="B84" s="21">
        <v>197</v>
      </c>
      <c r="C84" s="40">
        <f>'Biomass Data Assumptions'!B52*B84</f>
        <v>3230.7999999999997</v>
      </c>
      <c r="D84" s="40">
        <f>C84*'Energy Content Assumptions'!C14</f>
        <v>1130.7799999999997</v>
      </c>
      <c r="E84" s="41"/>
      <c r="F84" s="41"/>
      <c r="G84" s="41"/>
      <c r="H84" s="36"/>
      <c r="I84" s="36"/>
      <c r="J84" s="36"/>
      <c r="K84" s="36"/>
      <c r="L84" s="36"/>
      <c r="M84" s="36"/>
      <c r="N84" s="36"/>
      <c r="O84" s="36"/>
      <c r="P84" s="36"/>
      <c r="Q84" s="36"/>
      <c r="R84" s="36"/>
    </row>
    <row r="85" spans="1:18" x14ac:dyDescent="0.25">
      <c r="A85" s="39" t="s">
        <v>529</v>
      </c>
      <c r="B85" s="21">
        <v>1826</v>
      </c>
      <c r="C85" s="40">
        <f>'Biomass Data Assumptions'!B53*B85</f>
        <v>5843.2000000000007</v>
      </c>
      <c r="D85" s="40">
        <f>C85*'Energy Content Assumptions'!C15</f>
        <v>4966.72</v>
      </c>
      <c r="E85" s="41"/>
      <c r="F85" s="41"/>
      <c r="G85" s="41"/>
      <c r="H85" s="36"/>
      <c r="I85" s="36"/>
      <c r="J85" s="36"/>
      <c r="K85" s="36"/>
      <c r="L85" s="36"/>
      <c r="M85" s="36"/>
      <c r="N85" s="36"/>
      <c r="O85" s="36"/>
      <c r="P85" s="36"/>
      <c r="Q85" s="36"/>
      <c r="R85" s="36"/>
    </row>
    <row r="86" spans="1:18" x14ac:dyDescent="0.25">
      <c r="A86" s="39" t="s">
        <v>530</v>
      </c>
      <c r="B86" s="21">
        <v>3197</v>
      </c>
      <c r="C86" s="40">
        <f>'Biomass Data Assumptions'!B54*B86</f>
        <v>5434.9</v>
      </c>
      <c r="D86" s="40">
        <f>C86*'Energy Content Assumptions'!C16</f>
        <v>4619.665</v>
      </c>
      <c r="E86" s="41"/>
      <c r="F86" s="41"/>
      <c r="G86" s="41"/>
      <c r="H86" s="36"/>
      <c r="I86" s="36"/>
      <c r="J86" s="36"/>
      <c r="K86" s="36"/>
      <c r="L86" s="36"/>
      <c r="M86" s="36"/>
      <c r="N86" s="36"/>
      <c r="O86" s="36"/>
      <c r="P86" s="36"/>
      <c r="Q86" s="36"/>
      <c r="R86" s="36"/>
    </row>
    <row r="87" spans="1:18" x14ac:dyDescent="0.25">
      <c r="A87" s="39" t="s">
        <v>522</v>
      </c>
      <c r="B87" s="21">
        <f>729+0</f>
        <v>729</v>
      </c>
      <c r="C87" s="40">
        <f>'Biomass Data Assumptions'!B55*B87</f>
        <v>1275.75</v>
      </c>
      <c r="D87" s="40">
        <f>C87*'Energy Content Assumptions'!C17</f>
        <v>1084.3875</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123">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725</v>
      </c>
      <c r="C97" s="41">
        <f>ROUND('Biomass Data Assumptions'!$B$60/1000*B97,0)</f>
        <v>725</v>
      </c>
      <c r="D97" s="41">
        <f>'Biomass Data Assumptions'!$C$60*C97</f>
        <v>24345500</v>
      </c>
      <c r="E97" s="41">
        <f>('Biomass Data Assumptions'!$D$60*'Energy Content Assumptions'!$C$44*D97)/2000</f>
        <v>292.14600000000002</v>
      </c>
      <c r="F97" s="41">
        <f>('Biomass Data Assumptions'!$E$60*B97*365)/2000</f>
        <v>529.25</v>
      </c>
      <c r="G97" s="41">
        <f>F97+E97</f>
        <v>821.39599999999996</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ht="11.25" customHeight="1" x14ac:dyDescent="0.25">
      <c r="A100" s="460" t="s">
        <v>603</v>
      </c>
      <c r="B100" s="85">
        <v>19</v>
      </c>
      <c r="C100" s="41">
        <f>ROUND('Biomass Data Assumptions'!B62/1000*B100,0)</f>
        <v>7</v>
      </c>
      <c r="D100" s="41">
        <f>'Biomass Data Assumptions'!C62*C100</f>
        <v>204400</v>
      </c>
      <c r="E100" s="41">
        <f>('Biomass Data Assumptions'!D62*'Energy Content Assumptions'!C46*D100)/2000</f>
        <v>9.1980000000000004</v>
      </c>
      <c r="F100" s="41">
        <f>('Biomass Data Assumptions'!E62*B100*365)/2000</f>
        <v>17.337499999999999</v>
      </c>
      <c r="G100" s="41">
        <f>F100+E100</f>
        <v>26.535499999999999</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7</v>
      </c>
      <c r="C102" s="41">
        <f>ROUND('Biomass Data Assumptions'!B64/1000*B102,0)</f>
        <v>10</v>
      </c>
      <c r="D102" s="41">
        <f>'Biomass Data Assumptions'!C64*C102</f>
        <v>405150</v>
      </c>
      <c r="E102" s="41">
        <f>('Biomass Data Assumptions'!D64*'Energy Content Assumptions'!C48*D102)/2000</f>
        <v>18.231750000000002</v>
      </c>
      <c r="F102" s="41">
        <f>'Biomass Data Assumptions'!E64*B102*365/2000</f>
        <v>12.775</v>
      </c>
      <c r="G102" s="41">
        <f>F102+E102</f>
        <v>31.006750000000004</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v>26</v>
      </c>
      <c r="C104" s="41">
        <f>SUM(C100:C103)</f>
        <v>17</v>
      </c>
      <c r="D104" s="41">
        <f>SUM(D100:D103)</f>
        <v>609550</v>
      </c>
      <c r="E104" s="41">
        <f>SUM(E100:E103)</f>
        <v>27.429750000000002</v>
      </c>
      <c r="F104" s="41">
        <f>SUM(F100:F103)</f>
        <v>30.112499999999997</v>
      </c>
      <c r="G104" s="41">
        <f>SUM(G100:G103)</f>
        <v>57.542250000000003</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7412</v>
      </c>
      <c r="C106" s="41">
        <f>ROUND('Biomass Data Assumptions'!B66/1000*B106,0)</f>
        <v>7412</v>
      </c>
      <c r="D106" s="41">
        <f>'Biomass Data Assumptions'!C66*C106</f>
        <v>150148590</v>
      </c>
      <c r="E106" s="41">
        <f>('Biomass Data Assumptions'!D66*'Energy Content Assumptions'!C50*D106)/2000</f>
        <v>5255.2006500000007</v>
      </c>
      <c r="F106" s="41">
        <f>'Biomass Data Assumptions'!E66*B106*365/2000</f>
        <v>20290.349999999999</v>
      </c>
      <c r="G106" s="41">
        <f>F106+E106</f>
        <v>25545.550649999997</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1025</v>
      </c>
      <c r="C108" s="41">
        <f>ROUND('Biomass Data Assumptions'!B67/1000*B108,0)</f>
        <v>103</v>
      </c>
      <c r="D108" s="41">
        <f>'Biomass Data Assumptions'!C67*C108</f>
        <v>1541395</v>
      </c>
      <c r="E108" s="41">
        <f>('Biomass Data Assumptions'!D67*'Energy Content Assumptions'!C51*D108)/2000</f>
        <v>38.534875</v>
      </c>
      <c r="F108" s="41">
        <f>'Biomass Data Assumptions'!E67*B108*365/2000</f>
        <v>187.0625</v>
      </c>
      <c r="G108" s="41">
        <f>F108+E108</f>
        <v>225.597375</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1472</v>
      </c>
      <c r="C110" s="41">
        <f>ROUND('Biomass Data Assumptions'!B68/1000*B110,0)</f>
        <v>147</v>
      </c>
      <c r="D110" s="41">
        <f>'Biomass Data Assumptions'!C68*C110</f>
        <v>2199855</v>
      </c>
      <c r="E110" s="41">
        <f>('Biomass Data Assumptions'!D68*'Energy Content Assumptions'!C52*D110)/2000</f>
        <v>54.996375</v>
      </c>
      <c r="F110" s="41">
        <f>'Biomass Data Assumptions'!E68*B110*365/2000</f>
        <v>268.64</v>
      </c>
      <c r="G110" s="41">
        <f>F110+E110</f>
        <v>323.63637499999999</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t="s">
        <v>548</v>
      </c>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223</v>
      </c>
      <c r="C115" s="41">
        <f>ROUND('Biomass Data Assumptions'!$B$71/1000*B115,0)</f>
        <v>89</v>
      </c>
      <c r="D115" s="41">
        <f>'Biomass Data Assumptions'!$C$71*C115</f>
        <v>1526795</v>
      </c>
      <c r="E115" s="41">
        <f>('Biomass Data Assumptions'!$D$71*'Energy Content Assumptions'!$C$55*D115)/2000</f>
        <v>38.169874999999998</v>
      </c>
      <c r="F115" s="41">
        <f>'Biomass Data Assumptions'!$E$71*B115*365/2000</f>
        <v>0</v>
      </c>
      <c r="G115" s="41">
        <f>F115+E115</f>
        <v>38.169874999999998</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710+2473+156150</f>
        <v>159333</v>
      </c>
      <c r="C117" s="41">
        <f>ROUND('Biomass Data Assumptions'!B72/1000*B117,0)</f>
        <v>797</v>
      </c>
      <c r="D117" s="41">
        <f>'Biomass Data Assumptions'!C72*C117</f>
        <v>14545250</v>
      </c>
      <c r="E117" s="41">
        <f>('Biomass Data Assumptions'!D72*'Energy Content Assumptions'!C56*D117)/2000</f>
        <v>1418.161875</v>
      </c>
      <c r="F117" s="41">
        <f>'Biomass Data Assumptions'!E72*B117*365/2000</f>
        <v>0</v>
      </c>
      <c r="G117" s="41">
        <f>F117+E117</f>
        <v>1418.161875</v>
      </c>
      <c r="H117" s="150" t="s">
        <v>610</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7261</v>
      </c>
      <c r="C119" s="41">
        <f>ROUND('Biomass Data Assumptions'!B73/1000*B119,0)</f>
        <v>145</v>
      </c>
      <c r="D119" s="41">
        <f>'Biomass Data Assumptions'!C73*C119</f>
        <v>1958225</v>
      </c>
      <c r="E119" s="41">
        <f>('Biomass Data Assumptions'!D73*'Energy Content Assumptions'!C57*D119)/2000</f>
        <v>183.58359375000001</v>
      </c>
      <c r="F119" s="41">
        <f>'Biomass Data Assumptions'!E73*B119*365/2000</f>
        <v>132.51325</v>
      </c>
      <c r="G119" s="41">
        <f>F119+E119</f>
        <v>316.09684375000001</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177477</v>
      </c>
      <c r="C121" s="48">
        <f t="shared" si="14"/>
        <v>9435</v>
      </c>
      <c r="D121" s="48">
        <f t="shared" si="14"/>
        <v>196875160</v>
      </c>
      <c r="E121" s="48">
        <f t="shared" si="14"/>
        <v>7308.2229937499997</v>
      </c>
      <c r="F121" s="48">
        <f t="shared" si="14"/>
        <v>21437.928249999997</v>
      </c>
      <c r="G121" s="48">
        <f t="shared" si="14"/>
        <v>28746.151243749999</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6" t="s">
        <v>1013</v>
      </c>
      <c r="E123" s="36"/>
      <c r="F123" s="36"/>
      <c r="G123" s="36"/>
      <c r="H123" s="36"/>
      <c r="I123" s="36"/>
      <c r="J123" s="36"/>
      <c r="K123" s="36"/>
      <c r="L123" s="36"/>
      <c r="M123" s="36"/>
      <c r="N123" s="36"/>
      <c r="O123" s="36"/>
      <c r="P123" s="36"/>
      <c r="Q123" s="36"/>
      <c r="R123" s="36"/>
    </row>
    <row r="124" spans="1:18" x14ac:dyDescent="0.25">
      <c r="A124" s="50" t="s">
        <v>555</v>
      </c>
      <c r="B124" s="87">
        <v>49061.03</v>
      </c>
      <c r="C124" s="543">
        <f>B124*'Energy Content Assumptions'!C33</f>
        <v>44154.927000000003</v>
      </c>
      <c r="D124" s="36"/>
      <c r="E124" s="36"/>
      <c r="F124" s="36"/>
      <c r="G124" s="36"/>
      <c r="H124" s="36"/>
      <c r="I124" s="36"/>
      <c r="J124" s="36"/>
      <c r="K124" s="36"/>
      <c r="L124" s="36"/>
      <c r="M124" s="36"/>
      <c r="N124" s="36"/>
      <c r="O124" s="36"/>
      <c r="P124" s="36"/>
      <c r="Q124" s="36"/>
      <c r="R124" s="36"/>
    </row>
    <row r="125" spans="1:18" x14ac:dyDescent="0.25">
      <c r="A125" s="50" t="s">
        <v>556</v>
      </c>
      <c r="B125" s="87">
        <v>15770.22</v>
      </c>
      <c r="C125" s="543">
        <f>B125*'Energy Content Assumptions'!C34</f>
        <v>14193.198</v>
      </c>
      <c r="D125" s="36"/>
      <c r="E125" s="36"/>
      <c r="F125" s="36"/>
      <c r="G125" s="36"/>
      <c r="H125" s="36"/>
      <c r="I125" s="36"/>
      <c r="J125" s="36"/>
      <c r="K125" s="36"/>
      <c r="L125" s="36"/>
      <c r="M125" s="36"/>
      <c r="N125" s="36"/>
      <c r="O125" s="36"/>
      <c r="P125" s="36"/>
      <c r="Q125" s="36"/>
      <c r="R125" s="36"/>
    </row>
    <row r="126" spans="1:18" x14ac:dyDescent="0.25">
      <c r="A126" s="50" t="s">
        <v>557</v>
      </c>
      <c r="B126" s="87">
        <v>19366.689999999999</v>
      </c>
      <c r="C126" s="543">
        <f>B126*'Energy Content Assumptions'!C35</f>
        <v>17430.021000000001</v>
      </c>
      <c r="D126" s="36"/>
      <c r="E126" s="36"/>
      <c r="F126" s="36"/>
      <c r="G126" s="36"/>
      <c r="H126" s="36"/>
      <c r="I126" s="36"/>
      <c r="J126" s="36"/>
      <c r="K126" s="36"/>
      <c r="L126" s="36"/>
      <c r="M126" s="36"/>
      <c r="N126" s="36"/>
      <c r="O126" s="36"/>
      <c r="P126" s="36"/>
      <c r="Q126" s="36"/>
      <c r="R126" s="36"/>
    </row>
    <row r="127" spans="1:18" x14ac:dyDescent="0.25">
      <c r="A127" s="50" t="s">
        <v>558</v>
      </c>
      <c r="B127" s="87">
        <v>11347.43</v>
      </c>
      <c r="C127" s="543">
        <f>B127*'Energy Content Assumptions'!C36</f>
        <v>10212.687</v>
      </c>
      <c r="D127" s="36"/>
      <c r="E127" s="36"/>
      <c r="F127" s="36"/>
      <c r="G127" s="36"/>
      <c r="H127" s="36"/>
      <c r="I127" s="36"/>
      <c r="J127" s="36"/>
      <c r="K127" s="36"/>
      <c r="L127" s="36"/>
      <c r="M127" s="36"/>
      <c r="N127" s="36"/>
      <c r="O127" s="36"/>
      <c r="P127" s="36"/>
      <c r="Q127" s="36"/>
      <c r="R127" s="36"/>
    </row>
    <row r="128" spans="1:18" x14ac:dyDescent="0.25">
      <c r="A128" s="50" t="s">
        <v>559</v>
      </c>
      <c r="B128" s="87">
        <v>61223.839999999997</v>
      </c>
      <c r="C128" s="543">
        <f>B128*'Energy Content Assumptions'!C21</f>
        <v>30611.919999999998</v>
      </c>
      <c r="D128" s="36"/>
      <c r="E128" s="36"/>
      <c r="F128" s="36"/>
      <c r="G128" s="36"/>
      <c r="H128" s="36"/>
      <c r="I128" s="36"/>
      <c r="J128" s="36"/>
      <c r="K128" s="36"/>
      <c r="L128" s="36"/>
      <c r="M128" s="36"/>
      <c r="N128" s="36"/>
      <c r="O128" s="36"/>
      <c r="P128" s="36"/>
      <c r="Q128" s="36"/>
      <c r="R128" s="36"/>
    </row>
    <row r="129" spans="1:18" x14ac:dyDescent="0.25">
      <c r="A129" s="50" t="s">
        <v>560</v>
      </c>
      <c r="B129" s="87">
        <v>92.66</v>
      </c>
      <c r="C129" s="543">
        <f>B129*'Energy Content Assumptions'!C22</f>
        <v>30.886666666666663</v>
      </c>
      <c r="D129" s="36"/>
      <c r="E129" s="36"/>
      <c r="F129" s="36"/>
      <c r="G129" s="36"/>
      <c r="H129" s="36"/>
      <c r="I129" s="36"/>
      <c r="J129" s="36"/>
      <c r="K129" s="36"/>
      <c r="L129" s="36"/>
      <c r="M129" s="36"/>
      <c r="N129" s="36"/>
      <c r="O129" s="36"/>
      <c r="P129" s="36"/>
      <c r="Q129" s="36"/>
      <c r="R129" s="36"/>
    </row>
    <row r="130" spans="1:18" x14ac:dyDescent="0.25">
      <c r="A130" s="50" t="s">
        <v>561</v>
      </c>
      <c r="B130" s="87">
        <v>92982.66</v>
      </c>
      <c r="C130" s="543">
        <f>B130*'Energy Content Assumptions'!C23</f>
        <v>30994.22</v>
      </c>
      <c r="D130" s="36"/>
      <c r="E130" s="36"/>
      <c r="F130" s="36"/>
      <c r="G130" s="36"/>
      <c r="H130" s="36"/>
      <c r="I130" s="36"/>
      <c r="J130" s="36"/>
      <c r="K130" s="36"/>
      <c r="L130" s="36"/>
      <c r="M130" s="36"/>
      <c r="N130" s="36"/>
      <c r="O130" s="36"/>
      <c r="P130" s="36"/>
      <c r="Q130" s="36"/>
      <c r="R130" s="36"/>
    </row>
    <row r="131" spans="1:18" x14ac:dyDescent="0.25">
      <c r="A131" s="50" t="s">
        <v>562</v>
      </c>
      <c r="B131" s="87">
        <v>2980.11</v>
      </c>
      <c r="C131" s="543">
        <f>B131*'Energy Content Assumptions'!C24</f>
        <v>1490.0550000000001</v>
      </c>
      <c r="D131" s="36"/>
      <c r="E131" s="36"/>
      <c r="F131" s="36"/>
      <c r="G131" s="36"/>
      <c r="H131" s="36"/>
      <c r="I131" s="36"/>
      <c r="J131" s="36"/>
      <c r="K131" s="36"/>
      <c r="L131" s="36"/>
      <c r="M131" s="36"/>
      <c r="N131" s="36"/>
      <c r="O131" s="36"/>
      <c r="P131" s="36"/>
      <c r="Q131" s="36"/>
      <c r="R131" s="36"/>
    </row>
    <row r="132" spans="1:18" x14ac:dyDescent="0.25">
      <c r="A132" s="50" t="s">
        <v>563</v>
      </c>
      <c r="B132" s="87">
        <v>2548.04</v>
      </c>
      <c r="C132" s="543">
        <f>B132*'Energy Content Assumptions'!C31</f>
        <v>637.01</v>
      </c>
      <c r="D132" s="36"/>
      <c r="E132" s="36"/>
      <c r="F132" s="36"/>
      <c r="G132" s="36"/>
      <c r="H132" s="36"/>
      <c r="I132" s="36"/>
      <c r="J132" s="36"/>
      <c r="K132" s="36"/>
      <c r="L132" s="36"/>
      <c r="M132" s="36"/>
      <c r="N132" s="36"/>
      <c r="O132" s="36"/>
      <c r="P132" s="36"/>
      <c r="Q132" s="36"/>
      <c r="R132" s="36"/>
    </row>
    <row r="133" spans="1:18" x14ac:dyDescent="0.25">
      <c r="A133" s="50" t="s">
        <v>564</v>
      </c>
      <c r="B133" s="87">
        <v>8.33</v>
      </c>
      <c r="C133" s="543">
        <f>B133*'Energy Content Assumptions'!C19</f>
        <v>7.4969999999999999</v>
      </c>
      <c r="D133" s="36"/>
      <c r="E133" s="36"/>
      <c r="F133" s="36"/>
      <c r="G133" s="36"/>
      <c r="H133" s="36"/>
      <c r="I133" s="36"/>
      <c r="J133" s="36"/>
      <c r="K133" s="36"/>
      <c r="L133" s="36"/>
      <c r="M133" s="36"/>
      <c r="N133" s="36"/>
      <c r="O133" s="36"/>
      <c r="P133" s="36"/>
      <c r="Q133" s="36"/>
      <c r="R133" s="36"/>
    </row>
    <row r="134" spans="1:18" x14ac:dyDescent="0.25">
      <c r="A134" s="50" t="s">
        <v>565</v>
      </c>
      <c r="B134" s="87">
        <v>16686.63</v>
      </c>
      <c r="C134" s="543">
        <f>B134*'Energy Content Assumptions'!C32</f>
        <v>13349.304000000002</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Assumptions'!$M$19</f>
        <v>746942.83</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Assumptions'!$F$19</f>
        <v>430088.67</v>
      </c>
      <c r="C138" s="543">
        <f>B138*'Energy Content Assumptions'!$C$28</f>
        <v>215044.33499999999</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Assumptions'!$H$19</f>
        <v>344.1</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Assumptions'!$I$19</f>
        <v>429744.57</v>
      </c>
      <c r="C140" s="543">
        <f>B140*'Energy Content Assumptions'!$C$28</f>
        <v>214872.285</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Assumptions'!J19,'Biomass Data Assumptions'!F19*'Biomass Data Assumptions'!I41)</f>
        <v>67985.590974000006</v>
      </c>
      <c r="C141" s="543">
        <f>B141*'Energy Content Assumptions'!C26</f>
        <v>20395.677292200002</v>
      </c>
      <c r="D141" s="36"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Assumptions'!K19,'Biomass Data Assumptions'!F19*'Biomass Data Assumptions'!I42)</f>
        <v>83585.318865000008</v>
      </c>
      <c r="C142" s="543">
        <f>B142*'Energy Content Assumptions'!C27</f>
        <v>75226.786978500008</v>
      </c>
      <c r="D142" s="36"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Assumptions'!L19,'Biomass Data Assumptions'!F19*'Biomass Data Assumptions'!I43)</f>
        <v>115730.212701</v>
      </c>
      <c r="C143" s="543">
        <f>B143*'Energy Content Assumptions'!$C$28</f>
        <v>57865.106350499998</v>
      </c>
      <c r="D143" s="546" t="s">
        <v>1064</v>
      </c>
      <c r="E143" s="36"/>
      <c r="F143" s="36"/>
      <c r="G143" s="36"/>
      <c r="H143" s="36"/>
      <c r="I143" s="36"/>
      <c r="J143" s="36"/>
      <c r="K143" s="36"/>
      <c r="L143" s="36"/>
      <c r="M143" s="36"/>
      <c r="N143" s="36"/>
      <c r="O143" s="36"/>
      <c r="P143" s="36"/>
      <c r="Q143" s="36"/>
      <c r="R143" s="36"/>
    </row>
    <row r="144" spans="1:18" x14ac:dyDescent="0.25">
      <c r="A144" s="50" t="s">
        <v>463</v>
      </c>
      <c r="B144" s="87">
        <v>201316.71</v>
      </c>
      <c r="C144" s="543">
        <f>B144*'Energy Content Assumptions'!C29</f>
        <v>161053.36800000002</v>
      </c>
      <c r="D144" s="151" t="s">
        <v>206</v>
      </c>
      <c r="E144" s="36"/>
      <c r="F144" s="36"/>
      <c r="G144" s="36"/>
      <c r="H144" s="36"/>
      <c r="I144" s="36"/>
      <c r="J144" s="36"/>
      <c r="K144" s="36"/>
      <c r="L144" s="36"/>
      <c r="M144" s="36"/>
      <c r="N144" s="36"/>
      <c r="O144" s="36"/>
      <c r="P144" s="36"/>
      <c r="Q144" s="36"/>
      <c r="R144" s="36"/>
    </row>
    <row r="145" spans="1:18" x14ac:dyDescent="0.25">
      <c r="A145" s="709" t="s">
        <v>179</v>
      </c>
      <c r="B145" s="715">
        <v>0.4</v>
      </c>
      <c r="C145" s="716">
        <f>C144*B145</f>
        <v>64421.347200000011</v>
      </c>
      <c r="D145" s="36" t="s">
        <v>1202</v>
      </c>
      <c r="E145" s="36"/>
      <c r="F145" s="36"/>
      <c r="G145" s="36"/>
      <c r="H145" s="36"/>
      <c r="I145" s="36"/>
      <c r="J145" s="36"/>
      <c r="K145" s="36"/>
      <c r="L145" s="36"/>
      <c r="M145" s="36"/>
      <c r="N145" s="36"/>
      <c r="O145" s="36"/>
      <c r="P145" s="36"/>
      <c r="Q145" s="36"/>
      <c r="R145" s="36"/>
    </row>
    <row r="146" spans="1:18" x14ac:dyDescent="0.25">
      <c r="A146" s="712"/>
      <c r="B146" s="713"/>
      <c r="C146" s="714"/>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Assumptions'!R19/2000</f>
        <v>2773.672</v>
      </c>
      <c r="C148" s="1239">
        <f>B148*'Energy Content Assumptions'!C39</f>
        <v>2357.6212</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Assumptions'!S19/2000</f>
        <v>4214.0902999999998</v>
      </c>
      <c r="C149" s="1239">
        <f>B149*'Energy Content Assumptions'!C40</f>
        <v>210.70451500000001</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S199"/>
  <sheetViews>
    <sheetView topLeftCell="A93"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578</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72" t="s">
        <v>523</v>
      </c>
      <c r="F3" s="1210"/>
      <c r="G3" s="1210"/>
      <c r="H3" s="1075"/>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0</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101.6652</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3122</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72.900000000000006</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3296.5652</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349.34999999999997</v>
      </c>
      <c r="D15" s="294">
        <f>E15*'Conversion Tables'!C14</f>
        <v>4396.7793599999995</v>
      </c>
      <c r="E15" s="294">
        <f>C15*'Prac. Rec. Assumptions'!B11</f>
        <v>279.47999999999996</v>
      </c>
      <c r="F15" s="294">
        <f>$E15</f>
        <v>279.47999999999996</v>
      </c>
      <c r="G15" s="294">
        <f>$E15</f>
        <v>279.47999999999996</v>
      </c>
      <c r="H15" s="294">
        <f>$E15</f>
        <v>279.47999999999996</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397.8</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1895.5</v>
      </c>
      <c r="D17" s="294">
        <f>E17*'Conversion Tables'!C16</f>
        <v>25347.005099999998</v>
      </c>
      <c r="E17" s="294">
        <f>C17*'Prac. Rec. Assumptions'!B13</f>
        <v>1611.175</v>
      </c>
      <c r="F17" s="294">
        <f t="shared" si="2"/>
        <v>1611.175</v>
      </c>
      <c r="G17" s="294">
        <f t="shared" si="2"/>
        <v>1611.175</v>
      </c>
      <c r="H17" s="294">
        <f t="shared" si="2"/>
        <v>1611.175</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1435</v>
      </c>
      <c r="D18" s="294">
        <f>E18*'Conversion Tables'!C17</f>
        <v>16931.564999999999</v>
      </c>
      <c r="E18" s="294">
        <f>C18*'Prac. Rec. Assumptions'!B14</f>
        <v>1076.25</v>
      </c>
      <c r="F18" s="294">
        <f t="shared" si="2"/>
        <v>1076.25</v>
      </c>
      <c r="G18" s="294">
        <f t="shared" si="2"/>
        <v>1076.25</v>
      </c>
      <c r="H18" s="294">
        <f t="shared" si="2"/>
        <v>1076.25</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2698.24</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4463.6050000000005</v>
      </c>
      <c r="D20" s="294">
        <f>E20*'Conversion Tables'!C19</f>
        <v>34816.119000000006</v>
      </c>
      <c r="E20" s="294">
        <f>C20*'Prac. Rec. Assumptions'!B16</f>
        <v>2231.8025000000002</v>
      </c>
      <c r="F20" s="294">
        <f t="shared" si="2"/>
        <v>2231.8025000000002</v>
      </c>
      <c r="G20" s="294">
        <f t="shared" si="2"/>
        <v>2231.8025000000002</v>
      </c>
      <c r="H20" s="294">
        <f t="shared" si="2"/>
        <v>2231.8025000000002</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66.9375</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Assumptions'!P20*1000*'Energy Content Assumptions'!C18</f>
        <v>66066</v>
      </c>
      <c r="D22" s="294">
        <f>E22*'Conversion Tables'!C21</f>
        <v>515314.8</v>
      </c>
      <c r="E22" s="294">
        <f>C22*'Prac. Rec. Assumptions'!B18</f>
        <v>33033</v>
      </c>
      <c r="F22" s="294">
        <f t="shared" si="2"/>
        <v>33033</v>
      </c>
      <c r="G22" s="294">
        <f t="shared" si="2"/>
        <v>33033</v>
      </c>
      <c r="H22" s="294">
        <f t="shared" si="2"/>
        <v>33033</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479.41</v>
      </c>
      <c r="D23" s="294">
        <f>E23*'Conversion Tables'!C22</f>
        <v>7831.6417599999995</v>
      </c>
      <c r="E23" s="294">
        <f>C23*'Prac. Rec. Assumptions'!B19</f>
        <v>479.41</v>
      </c>
      <c r="F23" s="297">
        <f t="shared" si="2"/>
        <v>479.41</v>
      </c>
      <c r="G23" s="297">
        <f t="shared" si="2"/>
        <v>479.41</v>
      </c>
      <c r="H23" s="297">
        <f t="shared" si="2"/>
        <v>479.41</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12407.92</v>
      </c>
      <c r="D25" s="294">
        <f>E25*'Conversion Tables'!C24</f>
        <v>219620.18399999998</v>
      </c>
      <c r="E25" s="294">
        <f>C25*'Prac. Rec. Assumptions'!B21</f>
        <v>12407.92</v>
      </c>
      <c r="F25" s="294">
        <f>($C25*(1+'Biomass Data Assumptions'!G$105))*'Prac. Rec. Assumptions'!$B21</f>
        <v>12647.464974327377</v>
      </c>
      <c r="G25" s="294">
        <f>($C25*(1+'Biomass Data Assumptions'!H$105))*'Prac. Rec. Assumptions'!$B21</f>
        <v>12955.815420004106</v>
      </c>
      <c r="H25" s="294">
        <f>($C25*(1+'Biomass Data Assumptions'!I$105))*'Prac. Rec. Assumptions'!$B21</f>
        <v>13246.327410145821</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4115.1033333333326</v>
      </c>
      <c r="D26" s="294">
        <f>E26*'Conversion Tables'!C25</f>
        <v>64195.611999999986</v>
      </c>
      <c r="E26" s="294">
        <f>C26*'Prac. Rec. Assumptions'!B22</f>
        <v>4115.1033333333326</v>
      </c>
      <c r="F26" s="294">
        <f>($C26*(1+'Biomass Data Assumptions'!G$105))*'Prac. Rec. Assumptions'!$B22</f>
        <v>4194.5487458068037</v>
      </c>
      <c r="G26" s="294">
        <f>($C26*(1+'Biomass Data Assumptions'!H$105))*'Prac. Rec. Assumptions'!$B22</f>
        <v>4296.8135852673367</v>
      </c>
      <c r="H26" s="294">
        <f>($C26*(1+'Biomass Data Assumptions'!I$105))*'Prac. Rec. Assumptions'!$B22</f>
        <v>4393.1622769904834</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17197.599999999999</v>
      </c>
      <c r="D27" s="294">
        <f>E27*'Conversion Tables'!C26</f>
        <v>268282.56</v>
      </c>
      <c r="E27" s="294">
        <f>C27*'Prac. Rec. Assumptions'!B23</f>
        <v>17197.599999999999</v>
      </c>
      <c r="F27" s="294">
        <f>($C27*(1+'Biomass Data Assumptions'!G$105))*'Prac. Rec. Assumptions'!$B23</f>
        <v>17529.613637297185</v>
      </c>
      <c r="G27" s="294">
        <f>($C27*(1+'Biomass Data Assumptions'!H$105))*'Prac. Rec. Assumptions'!$B23</f>
        <v>17956.992893818031</v>
      </c>
      <c r="H27" s="294">
        <f>($C27*(1+'Biomass Data Assumptions'!I$105))*'Prac. Rec. Assumptions'!$B23</f>
        <v>18359.647730540153</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1678.6849999999999</v>
      </c>
      <c r="D28" s="294">
        <f>E28*'Conversion Tables'!C27</f>
        <v>29712.724499999997</v>
      </c>
      <c r="E28" s="294">
        <f>C28*'Prac. Rec. Assumptions'!B24</f>
        <v>1678.6849999999999</v>
      </c>
      <c r="F28" s="294">
        <f>($C28*(1+'Biomass Data Assumptions'!G$105))*'Prac. Rec. Assumptions'!$B24</f>
        <v>1711.0933774902442</v>
      </c>
      <c r="G28" s="294">
        <f>($C28*(1+'Biomass Data Assumptions'!H$105))*'Prac. Rec. Assumptions'!$B24</f>
        <v>1752.8105442596013</v>
      </c>
      <c r="H28" s="294">
        <f>($C28*(1+'Biomass Data Assumptions'!I$105))*'Prac. Rec. Assumptions'!$B24</f>
        <v>1792.1143212158554</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113251.15083333332</v>
      </c>
      <c r="D29" s="295">
        <f>SUM(D13:D28)</f>
        <v>1186448.9907199999</v>
      </c>
      <c r="E29" s="295">
        <f t="shared" si="3"/>
        <v>74110.425833333342</v>
      </c>
      <c r="F29" s="295">
        <f>SUM(F13:F28)</f>
        <v>74793.838234921626</v>
      </c>
      <c r="G29" s="295">
        <f>SUM(G13:G28)</f>
        <v>75673.549943349077</v>
      </c>
      <c r="H29" s="295">
        <f>SUM(H13:H28)</f>
        <v>76502.369238892323</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13441.5053976</v>
      </c>
      <c r="D32" s="294">
        <f>E32*'Conversion Tables'!C29</f>
        <v>129038.45181696002</v>
      </c>
      <c r="E32" s="294">
        <f>C32*'Prac. Rec. Assumptions'!B26</f>
        <v>8064.9032385600012</v>
      </c>
      <c r="F32" s="294">
        <f>($C32*(1+'Biomass Data Assumptions'!G$105)*(1+'Biomass Data Assumptions'!C$82))*'Prac. Rec. Assumptions'!$B26</f>
        <v>8215.0211257596402</v>
      </c>
      <c r="G32" s="294">
        <f>($C32*(1+'Biomass Data Assumptions'!H$105)*(1+'Biomass Data Assumptions'!D$82))*'Prac. Rec. Assumptions'!$B26</f>
        <v>8409.5929298037317</v>
      </c>
      <c r="H32" s="294">
        <f>($C32*(1+'Biomass Data Assumptions'!I$105)*(1+'Biomass Data Assumptions'!E$82))*'Prac. Rec. Assumptions'!$B26</f>
        <v>8592.3256834128188</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49577.233877999999</v>
      </c>
      <c r="D33" s="294">
        <f>E33*'Conversion Tables'!C30</f>
        <v>575968.47230105288</v>
      </c>
      <c r="E33" s="294">
        <f>C33*'Prac. Rec. Assumptions'!B27</f>
        <v>39661.787102400005</v>
      </c>
      <c r="F33" s="294">
        <f>($C33*(1+'Biomass Data Assumptions'!G$105)*(1+'Biomass Data Assumptions'!C$82))*'Prac. Rec. Assumptions'!$B27</f>
        <v>40400.040681675098</v>
      </c>
      <c r="G33" s="294">
        <f>($C33*(1+'Biomass Data Assumptions'!H$105)*(1+'Biomass Data Assumptions'!D$82))*'Prac. Rec. Assumptions'!$B27</f>
        <v>41356.910868440609</v>
      </c>
      <c r="H33" s="294">
        <f>($C33*(1+'Biomass Data Assumptions'!I$105)*(1+'Biomass Data Assumptions'!E$82))*'Prac. Rec. Assumptions'!$B27</f>
        <v>42255.558670639526</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38135.244454</v>
      </c>
      <c r="D34" s="294">
        <f>E34*'Conversion Tables'!C31</f>
        <v>398736.01437191141</v>
      </c>
      <c r="E34" s="294">
        <f>C34*'Prac. Rec. Assumptions'!B28</f>
        <v>27457.376006880004</v>
      </c>
      <c r="F34" s="294">
        <f>($C34*(1+'Biomass Data Assumptions'!G$105)*(1+'Biomass Data Assumptions'!C$82))*'Prac. Rec. Assumptions'!$B28</f>
        <v>27968.460040038826</v>
      </c>
      <c r="G34" s="294">
        <f>($C34*(1+'Biomass Data Assumptions'!H$105)*(1+'Biomass Data Assumptions'!D$82))*'Prac. Rec. Assumptions'!$B28</f>
        <v>28630.889709180094</v>
      </c>
      <c r="H34" s="294">
        <f>($C34*(1+'Biomass Data Assumptions'!I$105)*(1+'Biomass Data Assumptions'!E$82))*'Prac. Rec. Assumptions'!$B28</f>
        <v>29253.012724944027</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19766.307200000003</v>
      </c>
      <c r="D35" s="294">
        <f>E35*'Conversion Tables'!C32</f>
        <v>223912.72796160006</v>
      </c>
      <c r="E35" s="294">
        <f>C35*'Prac. Rec. Assumptions'!B29</f>
        <v>12650.436608000004</v>
      </c>
      <c r="F35" s="294">
        <f>($C35*(1+'Biomass Data Assumptions'!G$105)*(1+'Biomass Data Assumptions'!C$83))*'Prac. Rec. Assumptions'!$B29</f>
        <v>13542.118716390372</v>
      </c>
      <c r="G35" s="294">
        <f>($C35*(1+'Biomass Data Assumptions'!H$105)*(1+'Biomass Data Assumptions'!D$83))*'Prac. Rec. Assumptions'!$B29</f>
        <v>14568.823595494563</v>
      </c>
      <c r="H35" s="294">
        <f>($C35*(1+'Biomass Data Assumptions'!I$105)*(1+'Biomass Data Assumptions'!E$83))*'Prac. Rec. Assumptions'!$B29</f>
        <v>15643.424100156362</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914.71749999999997</v>
      </c>
      <c r="D37" s="294">
        <f>E37*'Conversion Tables'!C34</f>
        <v>14635.48</v>
      </c>
      <c r="E37" s="294">
        <f>C37*'Prac. Rec. Assumptions'!B31</f>
        <v>914.71749999999997</v>
      </c>
      <c r="F37" s="294">
        <f>($C37*(1+'Biomass Data Assumptions'!G$105)*(1+'Biomass Data Assumptions'!C$84))*'Prac. Rec. Assumptions'!$B31</f>
        <v>1019.5318967807843</v>
      </c>
      <c r="G37" s="294">
        <f>($C37*(1+'Biomass Data Assumptions'!H$105)*(1+'Biomass Data Assumptions'!D$84))*'Prac. Rec. Assumptions'!$B31</f>
        <v>1142.0139611459979</v>
      </c>
      <c r="H37" s="294">
        <f>($C37*(1+'Biomass Data Assumptions'!I$105)*(1+'Biomass Data Assumptions'!E$84))*'Prac. Rec. Assumptions'!$B31</f>
        <v>1276.7664894000541</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3165.7360000000003</v>
      </c>
      <c r="D38" s="294">
        <f>E38*'Conversion Tables'!C35</f>
        <v>28016.763600000002</v>
      </c>
      <c r="E38" s="294">
        <f>C38*'Prac. Rec. Assumptions'!B32</f>
        <v>1582.8680000000002</v>
      </c>
      <c r="F38" s="294">
        <f>($C38*(1+'Biomass Data Assumptions'!G$105)*(1+'Biomass Data Assumptions'!C$84))*'Prac. Rec. Assumptions'!$B32</f>
        <v>1764.2435116783126</v>
      </c>
      <c r="G38" s="294">
        <f>($C38*(1+'Biomass Data Assumptions'!H$105)*(1+'Biomass Data Assumptions'!D$84))*'Prac. Rec. Assumptions'!$B32</f>
        <v>1976.1919441261848</v>
      </c>
      <c r="H38" s="294">
        <f>($C38*(1+'Biomass Data Assumptions'!I$105)*(1+'Biomass Data Assumptions'!E$84))*'Prac. Rec. Assumptions'!$B32</f>
        <v>2209.3737351080358</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55764.468000000001</v>
      </c>
      <c r="D39" s="299">
        <f>E39*'Conversion Tables'!C36</f>
        <v>0</v>
      </c>
      <c r="E39" s="299">
        <f>C39*'Prac. Rec. Assumptions'!B33</f>
        <v>0</v>
      </c>
      <c r="F39" s="294">
        <f>($C39*(1+'Biomass Data Assumptions'!G$105)*(1+'Biomass Data Assumptions'!C$84))*'Prac. Rec. Assumptions'!$B33</f>
        <v>0</v>
      </c>
      <c r="G39" s="294">
        <f>($C39*(1+'Biomass Data Assumptions'!H$105)*(1+'Biomass Data Assumptions'!D$84))*'Prac. Rec. Assumptions'!$B33</f>
        <v>0</v>
      </c>
      <c r="H39" s="294">
        <f>($C39*(1+'Biomass Data Assumptions'!I$105)*(1+'Biomass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13186.800000000001</v>
      </c>
      <c r="D40" s="299">
        <f>E40*'Conversion Tables'!C37</f>
        <v>0</v>
      </c>
      <c r="E40" s="299">
        <f>C40*'Prac. Rec. Assumptions'!B34</f>
        <v>0</v>
      </c>
      <c r="F40" s="294">
        <f>($C40*(1+'Biomass Data Assumptions'!G$105)*(1+'Biomass Data Assumptions'!C$84))*'Prac. Rec. Assumptions'!$B34</f>
        <v>0</v>
      </c>
      <c r="G40" s="294">
        <f>($C40*(1+'Biomass Data Assumptions'!H$105)*(1+'Biomass Data Assumptions'!D$84))*'Prac. Rec. Assumptions'!$B34</f>
        <v>0</v>
      </c>
      <c r="H40" s="294">
        <f>($C40*(1+'Biomass Data Assumptions'!I$105)*(1+'Biomass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16772.472000000002</v>
      </c>
      <c r="D41" s="299">
        <f>E41*'Conversion Tables'!C38</f>
        <v>0</v>
      </c>
      <c r="E41" s="299">
        <f>C41*'Prac. Rec. Assumptions'!B35</f>
        <v>0</v>
      </c>
      <c r="F41" s="294">
        <f>($C41*(1+'Biomass Data Assumptions'!G$105)*(1+'Biomass Data Assumptions'!C$84))*'Prac. Rec. Assumptions'!$B35</f>
        <v>0</v>
      </c>
      <c r="G41" s="294">
        <f>($C41*(1+'Biomass Data Assumptions'!H$105)*(1+'Biomass Data Assumptions'!D$84))*'Prac. Rec. Assumptions'!$B35</f>
        <v>0</v>
      </c>
      <c r="H41" s="294">
        <f>($C41*(1+'Biomass Data Assumptions'!I$105)*(1+'Biomass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11673.702000000001</v>
      </c>
      <c r="D42" s="299">
        <f>E42*'Conversion Tables'!C39</f>
        <v>169525.500444</v>
      </c>
      <c r="E42" s="299">
        <f>C42*'Prac. Rec. Assumptions'!B36</f>
        <v>11673.702000000001</v>
      </c>
      <c r="F42" s="294">
        <f>($C42*(1+'Biomass Data Assumptions'!G$105)*(1+'Biomass Data Assumptions'!C$84))*'Prac. Rec. Assumptions'!$B36</f>
        <v>13011.352185252428</v>
      </c>
      <c r="G42" s="294">
        <f>($C42*(1+'Biomass Data Assumptions'!H$105)*(1+'Biomass Data Assumptions'!D$84))*'Prac. Rec. Assumptions'!$B36</f>
        <v>14574.478636582287</v>
      </c>
      <c r="H42" s="294">
        <f>($C42*(1+'Biomass Data Assumptions'!I$105)*(1+'Biomass Data Assumptions'!E$84))*'Prac. Rec. Assumptions'!$B36</f>
        <v>16294.201784531715</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222398.1864296</v>
      </c>
      <c r="D43" s="295">
        <f t="shared" si="4"/>
        <v>1539833.4104955243</v>
      </c>
      <c r="E43" s="295">
        <f t="shared" si="4"/>
        <v>102005.79045584002</v>
      </c>
      <c r="F43" s="295">
        <f t="shared" si="4"/>
        <v>105920.76815757545</v>
      </c>
      <c r="G43" s="295">
        <f t="shared" si="4"/>
        <v>110658.90164477349</v>
      </c>
      <c r="H43" s="295">
        <f t="shared" si="4"/>
        <v>115524.66318819254</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233.28</v>
      </c>
      <c r="D46" s="294">
        <f>E46*'Conversion Tables'!C41</f>
        <v>0</v>
      </c>
      <c r="E46" s="294">
        <f>C46*'Prac. Rec. Assumptions'!B38</f>
        <v>233.28</v>
      </c>
      <c r="F46" s="294">
        <f>$E46</f>
        <v>233.28</v>
      </c>
      <c r="G46" s="294">
        <f>$E46</f>
        <v>233.28</v>
      </c>
      <c r="H46" s="294">
        <f>$E46</f>
        <v>233.28</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1841.1122400000004</v>
      </c>
      <c r="D47" s="294"/>
      <c r="E47" s="294">
        <f>C47*'Prac. Rec. Assumptions'!B39</f>
        <v>920.55612000000019</v>
      </c>
      <c r="F47" s="294">
        <f>($C47*(1+'Biomass Data Assumptions'!G$105))*'Prac. Rec. Assumptions'!$B39</f>
        <v>938.3282036475664</v>
      </c>
      <c r="G47" s="294">
        <f>($C47*(1+'Biomass Data Assumptions'!H$105))*'Prac. Rec. Assumptions'!$B39</f>
        <v>961.20503472581652</v>
      </c>
      <c r="H47" s="294">
        <f>($C47*(1+'Biomass Data Assumptions'!I$105))*'Prac. Rec. Assumptions'!$B39</f>
        <v>982.75841276648214</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164.54325299999999</v>
      </c>
      <c r="D48" s="294"/>
      <c r="E48" s="294">
        <f>C48*'Prac. Rec. Assumptions'!B40</f>
        <v>164.54325299999999</v>
      </c>
      <c r="F48" s="294">
        <f>($C48*(1+'Biomass Data Assumptions'!G$105))*'Prac. Rec. Assumptions'!$B40</f>
        <v>167.71989415465185</v>
      </c>
      <c r="G48" s="294">
        <f>($C48*(1+'Biomass Data Assumptions'!H$105))*'Prac. Rec. Assumptions'!$B40</f>
        <v>171.80897478989525</v>
      </c>
      <c r="H48" s="294">
        <f>($C48*(1+'Biomass Data Assumptions'!I$105))*'Prac. Rec. Assumptions'!$B40</f>
        <v>175.66149704128159</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2238.9354930000004</v>
      </c>
      <c r="D49" s="295">
        <f>SUM(D45:D48)</f>
        <v>0</v>
      </c>
      <c r="E49" s="295">
        <f t="shared" si="6"/>
        <v>1318.3793730000002</v>
      </c>
      <c r="F49" s="295">
        <f>SUM(F45:F48)</f>
        <v>1339.3280978022183</v>
      </c>
      <c r="G49" s="295">
        <f>SUM(G45:G48)</f>
        <v>1366.2940095157119</v>
      </c>
      <c r="H49" s="295">
        <f>SUM(H45:H48)</f>
        <v>1391.6999098077638</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576.67664000000002</v>
      </c>
      <c r="D52" s="299">
        <f>E52*'Conversion Tables'!C45</f>
        <v>1702.8107825919999</v>
      </c>
      <c r="E52" s="299">
        <f>C52*'Prac. Rec. Assumptions'!B42</f>
        <v>115.335328</v>
      </c>
      <c r="F52" s="294">
        <f t="shared" ref="F52:H59" si="7">$E52</f>
        <v>115.335328</v>
      </c>
      <c r="G52" s="294">
        <f t="shared" si="7"/>
        <v>115.335328</v>
      </c>
      <c r="H52" s="294">
        <f t="shared" si="7"/>
        <v>115.335328</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283.09764999999999</v>
      </c>
      <c r="D53" s="299">
        <f>E53*'Conversion Tables'!C46</f>
        <v>2507.7922227599997</v>
      </c>
      <c r="E53" s="299">
        <f>C53*'Prac. Rec. Assumptions'!B43</f>
        <v>169.85858999999999</v>
      </c>
      <c r="F53" s="294">
        <f t="shared" si="7"/>
        <v>169.85858999999999</v>
      </c>
      <c r="G53" s="294">
        <f t="shared" si="7"/>
        <v>169.85858999999999</v>
      </c>
      <c r="H53" s="294">
        <f t="shared" si="7"/>
        <v>169.85858999999999</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4835.4570375000003</v>
      </c>
      <c r="D54" s="299">
        <f>E54*'Conversion Tables'!C47</f>
        <v>42834.412620989999</v>
      </c>
      <c r="E54" s="299">
        <f>C54*'Prac. Rec. Assumptions'!B44</f>
        <v>2901.2742225000002</v>
      </c>
      <c r="F54" s="294">
        <f t="shared" si="7"/>
        <v>2901.2742225000002</v>
      </c>
      <c r="G54" s="294">
        <f t="shared" si="7"/>
        <v>2901.2742225000002</v>
      </c>
      <c r="H54" s="294">
        <f t="shared" si="7"/>
        <v>2901.2742225000002</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400.78825000000001</v>
      </c>
      <c r="D55" s="299">
        <f>E55*'Conversion Tables'!C48</f>
        <v>1183.4475445999999</v>
      </c>
      <c r="E55" s="299">
        <f>C55*'Prac. Rec. Assumptions'!B45</f>
        <v>80.157650000000004</v>
      </c>
      <c r="F55" s="294">
        <f t="shared" si="7"/>
        <v>80.157650000000004</v>
      </c>
      <c r="G55" s="294">
        <f t="shared" si="7"/>
        <v>80.157650000000004</v>
      </c>
      <c r="H55" s="294">
        <f t="shared" si="7"/>
        <v>80.157650000000004</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176.11250000000001</v>
      </c>
      <c r="D56" s="299">
        <f>E56*'Conversion Tables'!C49</f>
        <v>520.02499</v>
      </c>
      <c r="E56" s="299">
        <f>C56*'Prac. Rec. Assumptions'!B46</f>
        <v>35.222500000000004</v>
      </c>
      <c r="F56" s="294">
        <f t="shared" si="7"/>
        <v>35.222500000000004</v>
      </c>
      <c r="G56" s="294">
        <f t="shared" si="7"/>
        <v>35.222500000000004</v>
      </c>
      <c r="H56" s="294">
        <f t="shared" si="7"/>
        <v>35.222500000000004</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29.592375000000001</v>
      </c>
      <c r="D57" s="299">
        <f>E57*'Conversion Tables'!C50</f>
        <v>218.45091224999999</v>
      </c>
      <c r="E57" s="299">
        <f>C57*'Prac. Rec. Assumptions'!B47</f>
        <v>14.7961875</v>
      </c>
      <c r="F57" s="294">
        <f t="shared" si="7"/>
        <v>14.7961875</v>
      </c>
      <c r="G57" s="294">
        <f t="shared" si="7"/>
        <v>14.7961875</v>
      </c>
      <c r="H57" s="294">
        <f t="shared" si="7"/>
        <v>14.7961875</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37.366875</v>
      </c>
      <c r="D58" s="299">
        <f>E58*'Conversion Tables'!C51</f>
        <v>448.40250000000003</v>
      </c>
      <c r="E58" s="299">
        <f>C58*'Prac. Rec. Assumptions'!B48</f>
        <v>37.366875</v>
      </c>
      <c r="F58" s="294">
        <f t="shared" si="7"/>
        <v>37.366875</v>
      </c>
      <c r="G58" s="294">
        <f t="shared" si="7"/>
        <v>37.366875</v>
      </c>
      <c r="H58" s="294">
        <f t="shared" si="7"/>
        <v>37.366875</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330.79949999999997</v>
      </c>
      <c r="D59" s="299">
        <f>E59*'Conversion Tables'!C52</f>
        <v>4883.9238179999993</v>
      </c>
      <c r="E59" s="299">
        <f>C59*'Prac. Rec. Assumptions'!B49</f>
        <v>330.79949999999997</v>
      </c>
      <c r="F59" s="294">
        <f t="shared" si="7"/>
        <v>330.79949999999997</v>
      </c>
      <c r="G59" s="294">
        <f t="shared" si="7"/>
        <v>330.79949999999997</v>
      </c>
      <c r="H59" s="294">
        <f t="shared" si="7"/>
        <v>330.79949999999997</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Assumptions'!AE20</f>
        <v>10760.750219999998</v>
      </c>
      <c r="D60" s="299">
        <f>E60*'Conversion Tables'!C53</f>
        <v>129129.00263999998</v>
      </c>
      <c r="E60" s="299">
        <f>C60*'Prac. Rec. Assumptions'!B50</f>
        <v>10760.750219999998</v>
      </c>
      <c r="F60" s="294">
        <f>($C60*(1+'Biomass Data Assumptions'!G$105*(4/5)))*'Prac. Rec. Assumptions'!$B50</f>
        <v>10926.946239006775</v>
      </c>
      <c r="G60" s="294">
        <f>($C60*(1+'Biomass Data Assumptions'!H$105*(9/10)))*'Prac. Rec. Assumptions'!$B50</f>
        <v>11188.395561460256</v>
      </c>
      <c r="H60" s="294">
        <f>($C60*(1+'Biomass Data Assumptions'!I$105*(14/15)))*'Prac. Rec. Assumptions'!$B50</f>
        <v>11439.383964277673</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17430.641047499998</v>
      </c>
      <c r="D61" s="295">
        <f>SUM(D52:D60)</f>
        <v>183428.26803119195</v>
      </c>
      <c r="E61" s="295">
        <f t="shared" ref="E61:P61" si="8">SUM(E52:E60)</f>
        <v>14445.561072999999</v>
      </c>
      <c r="F61" s="295">
        <f>SUM(F52:F60)</f>
        <v>14611.757092006776</v>
      </c>
      <c r="G61" s="295">
        <f>SUM(G52:G60)</f>
        <v>14873.206414460257</v>
      </c>
      <c r="H61" s="295">
        <f>SUM(H52:H60)</f>
        <v>15124.194817277674</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Assumptions'!AB20</f>
        <v>146.70699039999997</v>
      </c>
      <c r="D63" s="300">
        <f>E63*'Conversion Tables'!C55</f>
        <v>90811.627057599981</v>
      </c>
      <c r="E63" s="299">
        <f>C63*'Prac. Rec. Assumptions'!B51</f>
        <v>146.70699039999997</v>
      </c>
      <c r="F63" s="294">
        <f>($C63*(1+'Biomass Data Assumptions'!G$105*(4/5)))*'Prac. Rec. Assumptions'!$B51</f>
        <v>148.97282849367014</v>
      </c>
      <c r="G63" s="294">
        <f>($C63*(1+'Biomass Data Assumptions'!H$105*(9/10)))*'Prac. Rec. Assumptions'!$B51</f>
        <v>152.53730517560069</v>
      </c>
      <c r="H63" s="294">
        <f>($C63*(1+'Biomass Data Assumptions'!I$105*(14/15)))*'Prac. Rec. Assumptions'!$B51</f>
        <v>155.95916261581976</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Assumptions'!X20</f>
        <v>446.87619649999999</v>
      </c>
      <c r="D64" s="300">
        <f>E64*'Conversion Tables'!C56</f>
        <v>226119.35542899999</v>
      </c>
      <c r="E64" s="299">
        <f>C64*'Prac. Rec. Assumptions'!B52</f>
        <v>446.87619649999999</v>
      </c>
      <c r="F64" s="545">
        <f>($C64*(1+'Biomass Data Assumptions'!G$105*(3/5))*(1+('Biomass Data Assumptions'!C$82-((1+'Biomass Data Assumptions'!$B$82)^2 - 1))))*'Prac. Rec. Assumptions'!$B52</f>
        <v>451.86844563193131</v>
      </c>
      <c r="G64" s="545">
        <f>($C64*(1+'Biomass Data Assumptions'!H$105*(4/5))*(1+('Biomass Data Assumptions'!D$82-((1+'Biomass Data Assumptions'!$B$82)^2 - 1))))*'Prac. Rec. Assumptions'!$B52</f>
        <v>462.15995218289851</v>
      </c>
      <c r="H64" s="545">
        <f>($C64*(1+'Biomass Data Assumptions'!I$105*(13/15))*(1+('Biomass Data Assumptions'!E$82-((1+'Biomass Data Assumptions'!$B$82)^2 - 1))))*'Prac. Rec. Assumptions'!$B52</f>
        <v>472.21128792398423</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593.58318689999999</v>
      </c>
      <c r="D65" s="295">
        <f>SUM(D63:D64)</f>
        <v>316930.98248659994</v>
      </c>
      <c r="E65" s="295">
        <f t="shared" ref="E65:P65" si="9">SUM(E63:E64)</f>
        <v>593.58318689999999</v>
      </c>
      <c r="F65" s="295">
        <f>SUM(F63:F64)</f>
        <v>600.84127412560144</v>
      </c>
      <c r="G65" s="295">
        <f>SUM(G63:G64)</f>
        <v>614.6972573584992</v>
      </c>
      <c r="H65" s="295">
        <f>SUM(H63:H64)</f>
        <v>628.17045053980405</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40024.097300352943</v>
      </c>
      <c r="D67" s="295">
        <f t="shared" ref="D67" si="10">D61+D65</f>
        <v>500359.25051779189</v>
      </c>
      <c r="E67" s="295">
        <f>E61+(E63*1000000/29487.1582406855)+(E64*1000000/25364.5039539246)</f>
        <v>37039.017325852947</v>
      </c>
      <c r="F67" s="295">
        <f t="shared" ref="F67:H67" si="11">F61+(F63*1000000/29487.1582406855)+(F64*1000000/25364.5039539246)</f>
        <v>37478.875160270392</v>
      </c>
      <c r="G67" s="295">
        <f t="shared" si="11"/>
        <v>38266.951266390839</v>
      </c>
      <c r="H67" s="295">
        <f t="shared" si="11"/>
        <v>39030.261020703692</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381208.93525628629</v>
      </c>
      <c r="D68" s="132"/>
      <c r="E68" s="132">
        <f>E11+E29+E43+E49+E67</f>
        <v>214473.61298802629</v>
      </c>
      <c r="F68" s="132">
        <f>F11+F29+F43+F49+F67</f>
        <v>219532.80965056969</v>
      </c>
      <c r="G68" s="132">
        <f>G11+G29+G43+G49+G67</f>
        <v>225965.69686402916</v>
      </c>
      <c r="H68" s="132">
        <f>H11+H29+H43+H49+H67</f>
        <v>232448.99335759634</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7" customHeight="1"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0</v>
      </c>
      <c r="C74" s="40">
        <f>'Biomass Data Assumptions'!B38*B74</f>
        <v>0</v>
      </c>
      <c r="D74" s="40">
        <f>(C74*'Biomass Data Assumptions'!C38)/2000</f>
        <v>0</v>
      </c>
      <c r="E74" s="41"/>
      <c r="F74" s="41"/>
      <c r="G74" s="41"/>
      <c r="H74" s="36"/>
      <c r="I74" s="36"/>
      <c r="J74" s="36"/>
      <c r="K74" s="36"/>
      <c r="L74" s="36"/>
      <c r="M74" s="36"/>
      <c r="N74" s="36"/>
      <c r="O74" s="36"/>
      <c r="P74" s="36"/>
      <c r="Q74" s="36"/>
      <c r="R74" s="36"/>
    </row>
    <row r="75" spans="1:19" x14ac:dyDescent="0.25">
      <c r="A75" s="39" t="s">
        <v>520</v>
      </c>
      <c r="B75" s="21">
        <v>133</v>
      </c>
      <c r="C75" s="40">
        <f>'Biomass Data Assumptions'!B39*B75</f>
        <v>3630.9</v>
      </c>
      <c r="D75" s="40">
        <f>(C75*'Biomass Data Assumptions'!C39)/2000</f>
        <v>101.6652</v>
      </c>
      <c r="E75" s="41"/>
      <c r="F75" s="41"/>
      <c r="G75" s="41"/>
      <c r="H75" s="36"/>
      <c r="I75" s="36"/>
      <c r="J75" s="36"/>
      <c r="K75" s="36"/>
      <c r="L75" s="36"/>
      <c r="M75" s="36"/>
      <c r="N75" s="36"/>
      <c r="O75" s="36"/>
      <c r="P75" s="36"/>
      <c r="Q75" s="36"/>
      <c r="R75" s="36"/>
    </row>
    <row r="76" spans="1:19" x14ac:dyDescent="0.25">
      <c r="A76" s="39" t="s">
        <v>521</v>
      </c>
      <c r="B76" s="21">
        <v>892</v>
      </c>
      <c r="C76" s="40">
        <f>'Biomass Data Assumptions'!B40*B76</f>
        <v>111500</v>
      </c>
      <c r="D76" s="40">
        <f>(C76*'Biomass Data Assumptions'!C40)/2000</f>
        <v>3122</v>
      </c>
      <c r="E76" s="41"/>
      <c r="F76" s="41"/>
      <c r="G76" s="41"/>
      <c r="H76" s="36"/>
      <c r="I76" s="36"/>
      <c r="J76" s="36"/>
      <c r="K76" s="36"/>
      <c r="L76" s="36"/>
      <c r="M76" s="36"/>
      <c r="N76" s="36"/>
      <c r="O76" s="36"/>
      <c r="P76" s="36"/>
      <c r="Q76" s="36"/>
      <c r="R76" s="36"/>
    </row>
    <row r="77" spans="1:19" x14ac:dyDescent="0.25">
      <c r="A77" s="39" t="s">
        <v>525</v>
      </c>
      <c r="B77" s="21">
        <v>243</v>
      </c>
      <c r="C77" s="40">
        <f>'Biomass Data Assumptions'!B41*B77</f>
        <v>7776</v>
      </c>
      <c r="D77" s="40">
        <f>(C77*'Biomass Data Assumptions'!C41)/2000</f>
        <v>233.28</v>
      </c>
      <c r="E77" s="41"/>
      <c r="F77" s="41"/>
      <c r="G77" s="41"/>
      <c r="H77" s="36"/>
      <c r="I77" s="36"/>
      <c r="J77" s="36"/>
      <c r="K77" s="36"/>
      <c r="L77" s="36"/>
      <c r="M77" s="36"/>
      <c r="N77" s="36"/>
      <c r="O77" s="36"/>
      <c r="P77" s="36"/>
      <c r="Q77" s="36"/>
      <c r="R77" s="36"/>
    </row>
    <row r="78" spans="1:19" x14ac:dyDescent="0.25">
      <c r="A78" s="39" t="s">
        <v>522</v>
      </c>
      <c r="B78" s="21">
        <v>45</v>
      </c>
      <c r="C78" s="40">
        <f>'Biomass Data Assumptions'!B42*B78</f>
        <v>2430</v>
      </c>
      <c r="D78" s="40">
        <f>(C78*'Biomass Data Assumptions'!C42)/2000</f>
        <v>72.900000000000006</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411</v>
      </c>
      <c r="C81" s="40">
        <f>'Biomass Data Assumptions'!B49*B81</f>
        <v>411</v>
      </c>
      <c r="D81" s="40">
        <f>C81*'Energy Content Assumptions'!C11</f>
        <v>349.34999999999997</v>
      </c>
      <c r="E81" s="41"/>
      <c r="F81" s="41"/>
      <c r="G81" s="41"/>
      <c r="H81" s="36"/>
      <c r="I81" s="36"/>
      <c r="J81" s="36"/>
      <c r="K81" s="36"/>
      <c r="L81" s="36"/>
      <c r="M81" s="36"/>
      <c r="N81" s="36"/>
      <c r="O81" s="36"/>
      <c r="P81" s="36"/>
      <c r="Q81" s="36"/>
      <c r="R81" s="36"/>
    </row>
    <row r="82" spans="1:18" x14ac:dyDescent="0.25">
      <c r="A82" s="39" t="s">
        <v>520</v>
      </c>
      <c r="B82" s="21">
        <f>133+75</f>
        <v>208</v>
      </c>
      <c r="C82" s="40">
        <f>'Biomass Data Assumptions'!B50*B82</f>
        <v>468</v>
      </c>
      <c r="D82" s="40">
        <f>C82*'Energy Content Assumptions'!C12</f>
        <v>397.8</v>
      </c>
      <c r="E82" s="41"/>
      <c r="F82" s="41"/>
      <c r="G82" s="41"/>
      <c r="H82" s="36"/>
      <c r="I82" s="36"/>
      <c r="J82" s="36"/>
      <c r="K82" s="36"/>
      <c r="L82" s="36"/>
      <c r="M82" s="36"/>
      <c r="N82" s="36"/>
      <c r="O82" s="36"/>
      <c r="P82" s="36"/>
      <c r="Q82" s="36"/>
      <c r="R82" s="36"/>
    </row>
    <row r="83" spans="1:18" x14ac:dyDescent="0.25">
      <c r="A83" s="39" t="s">
        <v>521</v>
      </c>
      <c r="B83" s="21">
        <v>892</v>
      </c>
      <c r="C83" s="40">
        <f>'Biomass Data Assumptions'!B51*B83</f>
        <v>2230</v>
      </c>
      <c r="D83" s="40">
        <f>C83*'Energy Content Assumptions'!C13</f>
        <v>1895.5</v>
      </c>
      <c r="E83" s="41"/>
      <c r="F83" s="41"/>
      <c r="G83" s="41"/>
      <c r="H83" s="36"/>
      <c r="I83" s="36"/>
      <c r="J83" s="36"/>
      <c r="K83" s="36"/>
      <c r="L83" s="36"/>
      <c r="M83" s="36"/>
      <c r="N83" s="36"/>
      <c r="O83" s="36"/>
      <c r="P83" s="36"/>
      <c r="Q83" s="36"/>
      <c r="R83" s="36"/>
    </row>
    <row r="84" spans="1:18" x14ac:dyDescent="0.25">
      <c r="A84" s="39" t="s">
        <v>528</v>
      </c>
      <c r="B84" s="21">
        <v>250</v>
      </c>
      <c r="C84" s="40">
        <f>'Biomass Data Assumptions'!B52*B84</f>
        <v>4100</v>
      </c>
      <c r="D84" s="40">
        <f>C84*'Energy Content Assumptions'!C14</f>
        <v>1435</v>
      </c>
      <c r="E84" s="41"/>
      <c r="F84" s="41"/>
      <c r="G84" s="41"/>
      <c r="H84" s="36"/>
      <c r="I84" s="36"/>
      <c r="J84" s="36"/>
      <c r="K84" s="36"/>
      <c r="L84" s="36"/>
      <c r="M84" s="36"/>
      <c r="N84" s="36"/>
      <c r="O84" s="36"/>
      <c r="P84" s="36"/>
      <c r="Q84" s="36"/>
      <c r="R84" s="36"/>
    </row>
    <row r="85" spans="1:18" x14ac:dyDescent="0.25">
      <c r="A85" s="39" t="s">
        <v>529</v>
      </c>
      <c r="B85" s="21">
        <v>992</v>
      </c>
      <c r="C85" s="40">
        <f>'Biomass Data Assumptions'!B53*B85</f>
        <v>3174.4</v>
      </c>
      <c r="D85" s="40">
        <f>C85*'Energy Content Assumptions'!C15</f>
        <v>2698.24</v>
      </c>
      <c r="E85" s="41"/>
      <c r="F85" s="41"/>
      <c r="G85" s="41"/>
      <c r="H85" s="36"/>
      <c r="I85" s="36"/>
      <c r="J85" s="36"/>
      <c r="K85" s="36"/>
      <c r="L85" s="36"/>
      <c r="M85" s="36"/>
      <c r="N85" s="36"/>
      <c r="O85" s="36"/>
      <c r="P85" s="36"/>
      <c r="Q85" s="36"/>
      <c r="R85" s="36"/>
    </row>
    <row r="86" spans="1:18" x14ac:dyDescent="0.25">
      <c r="A86" s="39" t="s">
        <v>530</v>
      </c>
      <c r="B86" s="21">
        <v>3089</v>
      </c>
      <c r="C86" s="40">
        <f>'Biomass Data Assumptions'!B54*B86</f>
        <v>5251.3</v>
      </c>
      <c r="D86" s="40">
        <f>C86*'Energy Content Assumptions'!C16</f>
        <v>4463.6050000000005</v>
      </c>
      <c r="E86" s="41"/>
      <c r="F86" s="41"/>
      <c r="G86" s="41"/>
      <c r="H86" s="36"/>
      <c r="I86" s="36"/>
      <c r="J86" s="36"/>
      <c r="K86" s="36"/>
      <c r="L86" s="36"/>
      <c r="M86" s="36"/>
      <c r="N86" s="36"/>
      <c r="O86" s="36"/>
      <c r="P86" s="36"/>
      <c r="Q86" s="36"/>
      <c r="R86" s="36"/>
    </row>
    <row r="87" spans="1:18" x14ac:dyDescent="0.25">
      <c r="A87" s="39" t="s">
        <v>522</v>
      </c>
      <c r="B87" s="21">
        <v>45</v>
      </c>
      <c r="C87" s="40">
        <f>'Biomass Data Assumptions'!B55*B87</f>
        <v>78.75</v>
      </c>
      <c r="D87" s="40">
        <f>C87*'Energy Content Assumptions'!C17</f>
        <v>66.9375</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ht="12" customHeight="1"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509</v>
      </c>
      <c r="C97" s="41">
        <f>ROUND('Biomass Data Assumptions'!$B$60/1000*B97,0)</f>
        <v>509</v>
      </c>
      <c r="D97" s="41">
        <f>'Biomass Data Assumptions'!$C$60*C97</f>
        <v>17092220</v>
      </c>
      <c r="E97" s="41">
        <f>('Biomass Data Assumptions'!$D$60*'Energy Content Assumptions'!$C$44*D97)/2000</f>
        <v>205.10664000000003</v>
      </c>
      <c r="F97" s="41">
        <f>('Biomass Data Assumptions'!$E$60*B97*365)/2000</f>
        <v>371.57</v>
      </c>
      <c r="G97" s="41">
        <f>F97+E97</f>
        <v>576.67664000000002</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28</v>
      </c>
      <c r="C100" s="41">
        <f>ROUND('Biomass Data Assumptions'!B62/1000*B100,0)</f>
        <v>10</v>
      </c>
      <c r="D100" s="41">
        <f>'Biomass Data Assumptions'!C62*C100</f>
        <v>292000</v>
      </c>
      <c r="E100" s="41">
        <f>('Biomass Data Assumptions'!D62*'Energy Content Assumptions'!C46*D100)/2000</f>
        <v>13.14</v>
      </c>
      <c r="F100" s="41">
        <f>('Biomass Data Assumptions'!E62*B100*365)/2000</f>
        <v>25.55</v>
      </c>
      <c r="G100" s="41">
        <f>F100+E100</f>
        <v>38.69</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56</v>
      </c>
      <c r="C102" s="41">
        <f>ROUND('Biomass Data Assumptions'!B64/1000*B102,0)</f>
        <v>78</v>
      </c>
      <c r="D102" s="41">
        <f>'Biomass Data Assumptions'!C64*C102</f>
        <v>3160170</v>
      </c>
      <c r="E102" s="41">
        <f>('Biomass Data Assumptions'!D64*'Energy Content Assumptions'!C48*D102)/2000</f>
        <v>142.20765</v>
      </c>
      <c r="F102" s="41">
        <f>'Biomass Data Assumptions'!E64*B102*365/2000</f>
        <v>102.2</v>
      </c>
      <c r="G102" s="41">
        <f>F102+E102</f>
        <v>244.40764999999999</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f>B102+B100</f>
        <v>84</v>
      </c>
      <c r="C104" s="41">
        <f>SUM(C100:C103)</f>
        <v>88</v>
      </c>
      <c r="D104" s="41">
        <f>SUM(D100:D103)</f>
        <v>3452170</v>
      </c>
      <c r="E104" s="41">
        <f>SUM(E100:E103)</f>
        <v>155.34764999999999</v>
      </c>
      <c r="F104" s="41">
        <f>SUM(F100:F103)</f>
        <v>127.75</v>
      </c>
      <c r="G104" s="41">
        <f>SUM(G100:G103)</f>
        <v>283.09764999999999</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1403</v>
      </c>
      <c r="C106" s="41">
        <f>ROUND('Biomass Data Assumptions'!B66/1000*B106,0)</f>
        <v>1403</v>
      </c>
      <c r="D106" s="41">
        <f>'Biomass Data Assumptions'!C66*C106</f>
        <v>28421272.5</v>
      </c>
      <c r="E106" s="41">
        <f>('Biomass Data Assumptions'!D66*'Energy Content Assumptions'!C50*D106)/2000</f>
        <v>994.74453750000009</v>
      </c>
      <c r="F106" s="41">
        <f>'Biomass Data Assumptions'!E66*B106*365/2000</f>
        <v>3840.7125000000001</v>
      </c>
      <c r="G106" s="41">
        <f>F106+E106</f>
        <v>4835.4570375000003</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1823</v>
      </c>
      <c r="C108" s="41">
        <f>ROUND('Biomass Data Assumptions'!B67/1000*B108,0)</f>
        <v>182</v>
      </c>
      <c r="D108" s="41">
        <f>'Biomass Data Assumptions'!C67*C108</f>
        <v>2723630</v>
      </c>
      <c r="E108" s="41">
        <f>('Biomass Data Assumptions'!D67*'Energy Content Assumptions'!C51*D108)/2000</f>
        <v>68.09075</v>
      </c>
      <c r="F108" s="41">
        <f>'Biomass Data Assumptions'!E67*B108*365/2000</f>
        <v>332.69749999999999</v>
      </c>
      <c r="G108" s="41">
        <f>F108+E108</f>
        <v>400.78825000000001</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801</v>
      </c>
      <c r="C110" s="41">
        <f>ROUND('Biomass Data Assumptions'!B68/1000*B110,0)</f>
        <v>80</v>
      </c>
      <c r="D110" s="41">
        <f>'Biomass Data Assumptions'!C68*C110</f>
        <v>1197200</v>
      </c>
      <c r="E110" s="41">
        <f>('Biomass Data Assumptions'!D68*'Energy Content Assumptions'!C52*D110)/2000</f>
        <v>29.93</v>
      </c>
      <c r="F110" s="41">
        <f>'Biomass Data Assumptions'!E68*B110*365/2000</f>
        <v>146.1825</v>
      </c>
      <c r="G110" s="41">
        <f>F110+E110</f>
        <v>176.11250000000001</v>
      </c>
      <c r="H110" s="36"/>
      <c r="I110" s="36"/>
      <c r="J110" s="41"/>
      <c r="K110" s="41"/>
      <c r="L110" s="41"/>
      <c r="M110" s="41"/>
      <c r="N110" s="36"/>
      <c r="O110" s="36"/>
      <c r="P110" s="36"/>
      <c r="Q110" s="36"/>
      <c r="R110" s="36"/>
    </row>
    <row r="111" spans="1:18" ht="9.75" customHeight="1"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t="s">
        <v>548</v>
      </c>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173</v>
      </c>
      <c r="C115" s="41">
        <f>ROUND('Biomass Data Assumptions'!$B$71/1000*B115,0)</f>
        <v>69</v>
      </c>
      <c r="D115" s="41">
        <f>'Biomass Data Assumptions'!$C$71*C115</f>
        <v>1183695</v>
      </c>
      <c r="E115" s="41">
        <f>('Biomass Data Assumptions'!$D$71*'Energy Content Assumptions'!$C$55*D115)/2000</f>
        <v>29.592375000000001</v>
      </c>
      <c r="F115" s="41">
        <f>'Biomass Data Assumptions'!$E$71*B115*365/2000</f>
        <v>0</v>
      </c>
      <c r="G115" s="41">
        <f>F115+E115</f>
        <v>29.592375000000001</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362+535+3299</f>
        <v>4196</v>
      </c>
      <c r="C117" s="41">
        <f>ROUND('Biomass Data Assumptions'!B72/1000*B117,0)</f>
        <v>21</v>
      </c>
      <c r="D117" s="41">
        <f>'Biomass Data Assumptions'!C72*C117</f>
        <v>383250</v>
      </c>
      <c r="E117" s="41">
        <f>('Biomass Data Assumptions'!D72*'Energy Content Assumptions'!C56*D117)/2000</f>
        <v>37.366875</v>
      </c>
      <c r="F117" s="41">
        <f>'Biomass Data Assumptions'!E72*B117*365/2000</f>
        <v>0</v>
      </c>
      <c r="G117" s="41">
        <f>F117+E117</f>
        <v>37.366875</v>
      </c>
      <c r="H117" s="150" t="s">
        <v>611</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7581</v>
      </c>
      <c r="C119" s="41">
        <f>ROUND('Biomass Data Assumptions'!B73/1000*B119,0)</f>
        <v>152</v>
      </c>
      <c r="D119" s="41">
        <f>'Biomass Data Assumptions'!C73*C119</f>
        <v>2052760</v>
      </c>
      <c r="E119" s="41">
        <f>('Biomass Data Assumptions'!D73*'Energy Content Assumptions'!C57*D119)/2000</f>
        <v>192.44624999999999</v>
      </c>
      <c r="F119" s="41">
        <f>'Biomass Data Assumptions'!E73*B119*365/2000</f>
        <v>138.35325</v>
      </c>
      <c r="G119" s="41">
        <f>F119+E119</f>
        <v>330.79949999999997</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16570</v>
      </c>
      <c r="C121" s="48">
        <f t="shared" si="14"/>
        <v>2504</v>
      </c>
      <c r="D121" s="48">
        <f t="shared" si="14"/>
        <v>56506197.5</v>
      </c>
      <c r="E121" s="48">
        <f t="shared" si="14"/>
        <v>1712.6250775000001</v>
      </c>
      <c r="F121" s="48">
        <f t="shared" si="14"/>
        <v>4957.2657500000005</v>
      </c>
      <c r="G121" s="48">
        <f t="shared" si="14"/>
        <v>6669.8908275000003</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61960.52</v>
      </c>
      <c r="C124" s="543">
        <f>B124*'Energy Content Assumptions'!C33</f>
        <v>55764.468000000001</v>
      </c>
      <c r="D124" s="36"/>
      <c r="E124" s="36"/>
      <c r="F124" s="36"/>
      <c r="G124" s="36"/>
      <c r="H124" s="36"/>
      <c r="I124" s="36"/>
      <c r="J124" s="36"/>
      <c r="K124" s="36"/>
      <c r="L124" s="36"/>
      <c r="M124" s="36"/>
      <c r="N124" s="36"/>
      <c r="O124" s="36"/>
      <c r="P124" s="36"/>
      <c r="Q124" s="36"/>
      <c r="R124" s="36"/>
    </row>
    <row r="125" spans="1:18" x14ac:dyDescent="0.25">
      <c r="A125" s="50" t="s">
        <v>556</v>
      </c>
      <c r="B125" s="87">
        <v>14652</v>
      </c>
      <c r="C125" s="543">
        <f>B125*'Energy Content Assumptions'!C34</f>
        <v>13186.800000000001</v>
      </c>
      <c r="D125" s="36"/>
      <c r="E125" s="36"/>
      <c r="F125" s="36"/>
      <c r="G125" s="36"/>
      <c r="H125" s="36"/>
      <c r="I125" s="36"/>
      <c r="J125" s="36"/>
      <c r="K125" s="36"/>
      <c r="L125" s="36"/>
      <c r="M125" s="36"/>
      <c r="N125" s="36"/>
      <c r="O125" s="36"/>
      <c r="P125" s="36"/>
      <c r="Q125" s="36"/>
      <c r="R125" s="36"/>
    </row>
    <row r="126" spans="1:18" x14ac:dyDescent="0.25">
      <c r="A126" s="50" t="s">
        <v>557</v>
      </c>
      <c r="B126" s="87">
        <v>18636.080000000002</v>
      </c>
      <c r="C126" s="543">
        <f>B126*'Energy Content Assumptions'!C35</f>
        <v>16772.472000000002</v>
      </c>
      <c r="D126" s="36"/>
      <c r="E126" s="36"/>
      <c r="F126" s="36"/>
      <c r="G126" s="36"/>
      <c r="H126" s="36"/>
      <c r="I126" s="36"/>
      <c r="J126" s="36"/>
      <c r="K126" s="36"/>
      <c r="L126" s="36"/>
      <c r="M126" s="36"/>
      <c r="N126" s="36"/>
      <c r="O126" s="36"/>
      <c r="P126" s="36"/>
      <c r="Q126" s="36"/>
      <c r="R126" s="36"/>
    </row>
    <row r="127" spans="1:18" x14ac:dyDescent="0.25">
      <c r="A127" s="50" t="s">
        <v>558</v>
      </c>
      <c r="B127" s="87">
        <v>12970.78</v>
      </c>
      <c r="C127" s="543">
        <f>B127*'Energy Content Assumptions'!C36</f>
        <v>11673.702000000001</v>
      </c>
      <c r="D127" s="36"/>
      <c r="E127" s="36"/>
      <c r="F127" s="36"/>
      <c r="G127" s="36"/>
      <c r="H127" s="36"/>
      <c r="I127" s="36"/>
      <c r="J127" s="36"/>
      <c r="K127" s="36"/>
      <c r="L127" s="36"/>
      <c r="M127" s="36"/>
      <c r="N127" s="36"/>
      <c r="O127" s="36"/>
      <c r="P127" s="36"/>
      <c r="Q127" s="36"/>
      <c r="R127" s="36"/>
    </row>
    <row r="128" spans="1:18" x14ac:dyDescent="0.25">
      <c r="A128" s="50" t="s">
        <v>559</v>
      </c>
      <c r="B128" s="87">
        <v>24815.84</v>
      </c>
      <c r="C128" s="543">
        <f>B128*'Energy Content Assumptions'!C21</f>
        <v>12407.92</v>
      </c>
      <c r="D128" s="36"/>
      <c r="E128" s="36"/>
      <c r="F128" s="36"/>
      <c r="G128" s="36"/>
      <c r="H128" s="36"/>
      <c r="I128" s="36"/>
      <c r="J128" s="36"/>
      <c r="K128" s="36"/>
      <c r="L128" s="36"/>
      <c r="M128" s="36"/>
      <c r="N128" s="36"/>
      <c r="O128" s="36"/>
      <c r="P128" s="36"/>
      <c r="Q128" s="36"/>
      <c r="R128" s="36"/>
    </row>
    <row r="129" spans="1:18" x14ac:dyDescent="0.25">
      <c r="A129" s="50" t="s">
        <v>560</v>
      </c>
      <c r="B129" s="549">
        <v>12345.31</v>
      </c>
      <c r="C129" s="543">
        <f>B129*'Energy Content Assumptions'!C22</f>
        <v>4115.1033333333326</v>
      </c>
      <c r="D129" s="36"/>
      <c r="E129" s="36"/>
      <c r="F129" s="36"/>
      <c r="G129" s="36"/>
      <c r="H129" s="36"/>
      <c r="I129" s="36"/>
      <c r="J129" s="36"/>
      <c r="K129" s="36"/>
      <c r="L129" s="36"/>
      <c r="M129" s="36"/>
      <c r="N129" s="36"/>
      <c r="O129" s="36"/>
      <c r="P129" s="36"/>
      <c r="Q129" s="36"/>
      <c r="R129" s="36"/>
    </row>
    <row r="130" spans="1:18" x14ac:dyDescent="0.25">
      <c r="A130" s="50" t="s">
        <v>561</v>
      </c>
      <c r="B130" s="87">
        <v>51592.800000000003</v>
      </c>
      <c r="C130" s="543">
        <f>B130*'Energy Content Assumptions'!C23</f>
        <v>17197.599999999999</v>
      </c>
      <c r="D130" s="36"/>
      <c r="E130" s="36"/>
      <c r="F130" s="36"/>
      <c r="G130" s="36"/>
      <c r="H130" s="36"/>
      <c r="I130" s="36"/>
      <c r="J130" s="36"/>
      <c r="K130" s="36"/>
      <c r="L130" s="36"/>
      <c r="M130" s="36"/>
      <c r="N130" s="36"/>
      <c r="O130" s="36"/>
      <c r="P130" s="36"/>
      <c r="Q130" s="36"/>
      <c r="R130" s="36"/>
    </row>
    <row r="131" spans="1:18" x14ac:dyDescent="0.25">
      <c r="A131" s="50" t="s">
        <v>562</v>
      </c>
      <c r="B131" s="87">
        <v>3357.37</v>
      </c>
      <c r="C131" s="543">
        <f>B131*'Energy Content Assumptions'!C24</f>
        <v>1678.6849999999999</v>
      </c>
      <c r="D131" s="36"/>
      <c r="E131" s="36"/>
      <c r="F131" s="36"/>
      <c r="G131" s="36"/>
      <c r="H131" s="36"/>
      <c r="I131" s="36"/>
      <c r="J131" s="36"/>
      <c r="K131" s="36"/>
      <c r="L131" s="36"/>
      <c r="M131" s="36"/>
      <c r="N131" s="36"/>
      <c r="O131" s="36"/>
      <c r="P131" s="36"/>
      <c r="Q131" s="36"/>
      <c r="R131" s="36"/>
    </row>
    <row r="132" spans="1:18" x14ac:dyDescent="0.25">
      <c r="A132" s="50" t="s">
        <v>563</v>
      </c>
      <c r="B132" s="87">
        <v>3658.87</v>
      </c>
      <c r="C132" s="543">
        <f>B132*'Energy Content Assumptions'!C31</f>
        <v>914.71749999999997</v>
      </c>
      <c r="D132" s="36"/>
      <c r="E132" s="36"/>
      <c r="F132" s="36"/>
      <c r="G132" s="36"/>
      <c r="H132" s="36"/>
      <c r="I132" s="36"/>
      <c r="J132" s="36"/>
      <c r="K132" s="36"/>
      <c r="L132" s="36"/>
      <c r="M132" s="36"/>
      <c r="N132" s="36"/>
      <c r="O132" s="36"/>
      <c r="P132" s="36"/>
      <c r="Q132" s="36"/>
      <c r="R132" s="36"/>
    </row>
    <row r="133" spans="1:18" x14ac:dyDescent="0.25">
      <c r="A133" s="50" t="s">
        <v>564</v>
      </c>
      <c r="B133" s="87">
        <v>479.41</v>
      </c>
      <c r="C133" s="543">
        <f>B133*'Energy Content Assumptions'!C19</f>
        <v>431.46900000000005</v>
      </c>
      <c r="D133" s="36"/>
      <c r="E133" s="36"/>
      <c r="F133" s="36"/>
      <c r="G133" s="36"/>
      <c r="H133" s="36"/>
      <c r="I133" s="36"/>
      <c r="J133" s="36"/>
      <c r="K133" s="36"/>
      <c r="L133" s="36"/>
      <c r="M133" s="36"/>
      <c r="N133" s="36"/>
      <c r="O133" s="36"/>
      <c r="P133" s="36"/>
      <c r="Q133" s="36"/>
      <c r="R133" s="36"/>
    </row>
    <row r="134" spans="1:18" x14ac:dyDescent="0.25">
      <c r="A134" s="50" t="s">
        <v>565</v>
      </c>
      <c r="B134" s="87">
        <v>3957.17</v>
      </c>
      <c r="C134" s="543">
        <f>B134*'Energy Content Assumptions'!C32</f>
        <v>3165.7360000000003</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Assumptions'!$M$20</f>
        <v>541380.71</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Assumptions'!$F$20</f>
        <v>295927.15999999997</v>
      </c>
      <c r="C138" s="543">
        <f>B138*'Energy Content Assumptions'!$C$28</f>
        <v>147963.57999999999</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Assumptions'!$H$20</f>
        <v>12709.6</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Assumptions'!$I$20</f>
        <v>283217.56</v>
      </c>
      <c r="C140" s="543">
        <f>B140*'Energy Content Assumptions'!$C$28</f>
        <v>141608.78</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Assumptions'!J20,'Biomass Data Assumptions'!F20*'Biomass Data Assumptions'!I41)</f>
        <v>44805.017992000001</v>
      </c>
      <c r="C141" s="543">
        <f>B141*'Energy Content Assumptions'!C26</f>
        <v>13441.5053976</v>
      </c>
      <c r="D141" s="36"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Assumptions'!K20,'Biomass Data Assumptions'!F20*'Biomass Data Assumptions'!I42)</f>
        <v>55085.815419999999</v>
      </c>
      <c r="C142" s="543">
        <f>B142*'Energy Content Assumptions'!C27</f>
        <v>49577.233877999999</v>
      </c>
      <c r="D142" s="36"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Assumptions'!L20,'Biomass Data Assumptions'!F20*'Biomass Data Assumptions'!I43)</f>
        <v>76270.488907999999</v>
      </c>
      <c r="C143" s="543">
        <f>B143*'Energy Content Assumptions'!$C$28</f>
        <v>38135.244454</v>
      </c>
      <c r="D143" s="546" t="s">
        <v>1064</v>
      </c>
      <c r="E143" s="36"/>
      <c r="F143" s="36"/>
      <c r="G143" s="36"/>
      <c r="H143" s="36"/>
      <c r="I143" s="36"/>
      <c r="J143" s="36"/>
      <c r="K143" s="36"/>
      <c r="L143" s="36"/>
      <c r="M143" s="36"/>
      <c r="N143" s="36"/>
      <c r="O143" s="36"/>
      <c r="P143" s="36"/>
      <c r="Q143" s="36"/>
      <c r="R143" s="36"/>
    </row>
    <row r="144" spans="1:18" x14ac:dyDescent="0.25">
      <c r="A144" s="50" t="s">
        <v>463</v>
      </c>
      <c r="B144" s="87">
        <v>61769.71</v>
      </c>
      <c r="C144" s="543">
        <f>B144*'Energy Content Assumptions'!C29</f>
        <v>49415.768000000004</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19766.307200000003</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Assumptions'!R20/2000</f>
        <v>2166.0144000000005</v>
      </c>
      <c r="C148" s="1239">
        <f>B148*'Energy Content Assumptions'!C39</f>
        <v>1841.1122400000004</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Assumptions'!S20/2000</f>
        <v>3290.8650599999996</v>
      </c>
      <c r="C149" s="1239">
        <f>B149*'Energy Content Assumptions'!C40</f>
        <v>164.54325299999999</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S199"/>
  <sheetViews>
    <sheetView topLeftCell="A110"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577</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127.988</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206.38800000000001</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591.5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81</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1006.876</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52.699999999999996</v>
      </c>
      <c r="D15" s="294">
        <f>E15*'Conversion Tables'!C14</f>
        <v>663.26111999999989</v>
      </c>
      <c r="E15" s="294">
        <f>C15*'Prac. Rec. Assumptions'!B11</f>
        <v>42.16</v>
      </c>
      <c r="F15" s="294">
        <f>$E15</f>
        <v>42.16</v>
      </c>
      <c r="G15" s="294">
        <f>$E15</f>
        <v>42.16</v>
      </c>
      <c r="H15" s="294">
        <f>$E15</f>
        <v>42.16</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942.86249999999995</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359.125</v>
      </c>
      <c r="D17" s="294">
        <f>E17*'Conversion Tables'!C16</f>
        <v>4802.2913249999992</v>
      </c>
      <c r="E17" s="294">
        <f>C17*'Prac. Rec. Assumptions'!B13</f>
        <v>305.25624999999997</v>
      </c>
      <c r="F17" s="294">
        <f t="shared" si="2"/>
        <v>305.25624999999997</v>
      </c>
      <c r="G17" s="294">
        <f t="shared" si="2"/>
        <v>305.25624999999997</v>
      </c>
      <c r="H17" s="294">
        <f t="shared" si="2"/>
        <v>305.25624999999997</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901.17999999999984</v>
      </c>
      <c r="D18" s="294">
        <f>E18*'Conversion Tables'!C17</f>
        <v>10633.022819999998</v>
      </c>
      <c r="E18" s="294">
        <f>C18*'Prac. Rec. Assumptions'!B14</f>
        <v>675.88499999999988</v>
      </c>
      <c r="F18" s="294">
        <f t="shared" si="2"/>
        <v>675.88499999999988</v>
      </c>
      <c r="G18" s="294">
        <f t="shared" si="2"/>
        <v>675.88499999999988</v>
      </c>
      <c r="H18" s="294">
        <f t="shared" si="2"/>
        <v>675.88499999999988</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424.32000000000005</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862.66499999999996</v>
      </c>
      <c r="D20" s="294">
        <f>E20*'Conversion Tables'!C19</f>
        <v>6728.7869999999994</v>
      </c>
      <c r="E20" s="294">
        <f>C20*'Prac. Rec. Assumptions'!B16</f>
        <v>431.33249999999998</v>
      </c>
      <c r="F20" s="294">
        <f t="shared" si="2"/>
        <v>431.33249999999998</v>
      </c>
      <c r="G20" s="294">
        <f t="shared" si="2"/>
        <v>431.33249999999998</v>
      </c>
      <c r="H20" s="294">
        <f t="shared" si="2"/>
        <v>431.33249999999998</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74.375</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Assumptions'!P21*1000*'Energy Content Assumptions'!C18</f>
        <v>111710</v>
      </c>
      <c r="D22" s="294">
        <f>E22*'Conversion Tables'!C21</f>
        <v>871338</v>
      </c>
      <c r="E22" s="294">
        <f>C22*'Prac. Rec. Assumptions'!B18</f>
        <v>55855</v>
      </c>
      <c r="F22" s="294">
        <f t="shared" si="2"/>
        <v>55855</v>
      </c>
      <c r="G22" s="294">
        <f t="shared" si="2"/>
        <v>55855</v>
      </c>
      <c r="H22" s="294">
        <f t="shared" si="2"/>
        <v>55855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0.78</v>
      </c>
      <c r="D23" s="294">
        <f>E23*'Conversion Tables'!C22</f>
        <v>12.74208</v>
      </c>
      <c r="E23" s="294">
        <f>C23*'Prac. Rec. Assumptions'!B19</f>
        <v>0.78</v>
      </c>
      <c r="F23" s="297">
        <f t="shared" si="2"/>
        <v>0.78</v>
      </c>
      <c r="G23" s="297">
        <f t="shared" si="2"/>
        <v>0.78</v>
      </c>
      <c r="H23" s="297">
        <f t="shared" si="2"/>
        <v>0.78</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19954.455000000002</v>
      </c>
      <c r="D25" s="294">
        <f>E25*'Conversion Tables'!C24</f>
        <v>353193.85350000003</v>
      </c>
      <c r="E25" s="294">
        <f>C25*'Prac. Rec. Assumptions'!B21</f>
        <v>19954.455000000002</v>
      </c>
      <c r="F25" s="294">
        <f>($C25*(1+'Biomass Data Assumptions'!G$106))*'Prac. Rec. Assumptions'!$B21</f>
        <v>20732.037764612953</v>
      </c>
      <c r="G25" s="294">
        <f>($C25*(1+'Biomass Data Assumptions'!H$106))*'Prac. Rec. Assumptions'!$B21</f>
        <v>22052.527414428649</v>
      </c>
      <c r="H25" s="294">
        <f>($C25*(1+'Biomass Data Assumptions'!I$106))*'Prac. Rec. Assumptions'!$B21</f>
        <v>23180.372685624014</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185.71999999999997</v>
      </c>
      <c r="D26" s="294">
        <f>E26*'Conversion Tables'!C25</f>
        <v>2897.2319999999995</v>
      </c>
      <c r="E26" s="294">
        <f>C26*'Prac. Rec. Assumptions'!B22</f>
        <v>185.71999999999997</v>
      </c>
      <c r="F26" s="294">
        <f>($C26*(1+'Biomass Data Assumptions'!G$106))*'Prac. Rec. Assumptions'!$B22</f>
        <v>192.95711427066871</v>
      </c>
      <c r="G26" s="294">
        <f>($C26*(1+'Biomass Data Assumptions'!H$106))*'Prac. Rec. Assumptions'!$B22</f>
        <v>205.24716868527292</v>
      </c>
      <c r="H26" s="294">
        <f>($C26*(1+'Biomass Data Assumptions'!I$106))*'Prac. Rec. Assumptions'!$B22</f>
        <v>215.74424433912583</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15753.696666666665</v>
      </c>
      <c r="D27" s="294">
        <f>E27*'Conversion Tables'!C26</f>
        <v>245757.66799999998</v>
      </c>
      <c r="E27" s="294">
        <f>C27*'Prac. Rec. Assumptions'!B23</f>
        <v>15753.696666666665</v>
      </c>
      <c r="F27" s="294">
        <f>($C27*(1+'Biomass Data Assumptions'!G$106))*'Prac. Rec. Assumptions'!$B23</f>
        <v>16367.584793751093</v>
      </c>
      <c r="G27" s="294">
        <f>($C27*(1+'Biomass Data Assumptions'!H$106))*'Prac. Rec. Assumptions'!$B23</f>
        <v>17410.08850506114</v>
      </c>
      <c r="H27" s="294">
        <f>($C27*(1+'Biomass Data Assumptions'!I$106))*'Prac. Rec. Assumptions'!$B23</f>
        <v>18300.502815516935</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6851.4750000000004</v>
      </c>
      <c r="D28" s="294">
        <f>E28*'Conversion Tables'!C27</f>
        <v>121271.1075</v>
      </c>
      <c r="E28" s="294">
        <f>C28*'Prac. Rec. Assumptions'!B24</f>
        <v>6851.4750000000004</v>
      </c>
      <c r="F28" s="294">
        <f>($C28*(1+'Biomass Data Assumptions'!G$106))*'Prac. Rec. Assumptions'!$B24</f>
        <v>7118.4624407582933</v>
      </c>
      <c r="G28" s="294">
        <f>($C28*(1+'Biomass Data Assumptions'!H$106))*'Prac. Rec. Assumptions'!$B24</f>
        <v>7571.8600315955764</v>
      </c>
      <c r="H28" s="294">
        <f>($C28*(1+'Biomass Data Assumptions'!I$106))*'Prac. Rec. Assumptions'!$B24</f>
        <v>7959.1120853080574</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158073.35416666666</v>
      </c>
      <c r="D29" s="295">
        <f>SUM(D13:D28)</f>
        <v>1617297.9653450001</v>
      </c>
      <c r="E29" s="295">
        <f t="shared" si="3"/>
        <v>100055.76041666667</v>
      </c>
      <c r="F29" s="295">
        <f>SUM(F13:F28)</f>
        <v>101721.45586339301</v>
      </c>
      <c r="G29" s="295">
        <f>SUM(G13:G28)</f>
        <v>104550.13686977062</v>
      </c>
      <c r="H29" s="295">
        <f>SUM(H13:H28)</f>
        <v>106966.14558078814</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18584.530129199997</v>
      </c>
      <c r="D32" s="294">
        <f>E32*'Conversion Tables'!C29</f>
        <v>178411.48924031999</v>
      </c>
      <c r="E32" s="294">
        <f>C32*'Prac. Rec. Assumptions'!B26</f>
        <v>11150.718077519999</v>
      </c>
      <c r="F32" s="294">
        <f>($C32*(1+'Biomass Data Assumptions'!G$106)*(1+'Biomass Data Assumptions'!C$82))*'Prac. Rec. Assumptions'!$B26</f>
        <v>11577.371758178017</v>
      </c>
      <c r="G32" s="294">
        <f>($C32*(1+'Biomass Data Assumptions'!H$106)*(1+'Biomass Data Assumptions'!D$82))*'Prac. Rec. Assumptions'!$B26</f>
        <v>12306.410036199701</v>
      </c>
      <c r="H32" s="294">
        <f>($C32*(1+'Biomass Data Assumptions'!I$106)*(1+'Biomass Data Assumptions'!E$82))*'Prac. Rec. Assumptions'!$B26</f>
        <v>12927.020796342322</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68546.607650999998</v>
      </c>
      <c r="D33" s="294">
        <f>E33*'Conversion Tables'!C30</f>
        <v>796347.06904625765</v>
      </c>
      <c r="E33" s="294">
        <f>C33*'Prac. Rec. Assumptions'!B27</f>
        <v>54837.286120800003</v>
      </c>
      <c r="F33" s="294">
        <f>($C33*(1+'Biomass Data Assumptions'!G$106)*(1+'Biomass Data Assumptions'!C$82))*'Prac. Rec. Assumptions'!$B27</f>
        <v>56935.494487120726</v>
      </c>
      <c r="G33" s="294">
        <f>($C33*(1+'Biomass Data Assumptions'!H$106)*(1+'Biomass Data Assumptions'!D$82))*'Prac. Rec. Assumptions'!$B27</f>
        <v>60520.777548441001</v>
      </c>
      <c r="H33" s="294">
        <f>($C33*(1+'Biomass Data Assumptions'!I$106)*(1+'Biomass Data Assumptions'!E$82))*'Prac. Rec. Assumptions'!$B27</f>
        <v>63572.832993390184</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52726.653642999991</v>
      </c>
      <c r="D34" s="294">
        <f>E34*'Conversion Tables'!C31</f>
        <v>551301.45422662515</v>
      </c>
      <c r="E34" s="294">
        <f>C34*'Prac. Rec. Assumptions'!B28</f>
        <v>37963.190622959999</v>
      </c>
      <c r="F34" s="294">
        <f>($C34*(1+'Biomass Data Assumptions'!G$106)*(1+'Biomass Data Assumptions'!C$82))*'Prac. Rec. Assumptions'!$B28</f>
        <v>39415.754923860186</v>
      </c>
      <c r="G34" s="294">
        <f>($C34*(1+'Biomass Data Assumptions'!H$106)*(1+'Biomass Data Assumptions'!D$82))*'Prac. Rec. Assumptions'!$B28</f>
        <v>41897.803068882167</v>
      </c>
      <c r="H34" s="294">
        <f>($C34*(1+'Biomass Data Assumptions'!I$106)*(1+'Biomass Data Assumptions'!E$82))*'Prac. Rec. Assumptions'!$B28</f>
        <v>44010.704177686312</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88560.502400000012</v>
      </c>
      <c r="D35" s="294">
        <f>E35*'Conversion Tables'!C32</f>
        <v>1003213.3711872003</v>
      </c>
      <c r="E35" s="294">
        <f>C35*'Prac. Rec. Assumptions'!B29</f>
        <v>56678.721536000019</v>
      </c>
      <c r="F35" s="294">
        <f>($C35*(1+'Biomass Data Assumptions'!G$106)*(1+'Biomass Data Assumptions'!C$83))*'Prac. Rec. Assumptions'!$B29</f>
        <v>61844.170307782668</v>
      </c>
      <c r="G35" s="294">
        <f>($C35*(1+'Biomass Data Assumptions'!H$106)*(1+'Biomass Data Assumptions'!D$83))*'Prac. Rec. Assumptions'!$B29</f>
        <v>69086.270420730245</v>
      </c>
      <c r="H35" s="294">
        <f>($C35*(1+'Biomass Data Assumptions'!I$106)*(1+'Biomass Data Assumptions'!E$83))*'Prac. Rec. Assumptions'!$B29</f>
        <v>76265.898835774104</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810.69749999999999</v>
      </c>
      <c r="D37" s="294">
        <f>E37*'Conversion Tables'!C34</f>
        <v>12971.16</v>
      </c>
      <c r="E37" s="294">
        <f>C37*'Prac. Rec. Assumptions'!B31</f>
        <v>810.69749999999999</v>
      </c>
      <c r="F37" s="294">
        <f>($C37*(1+'Biomass Data Assumptions'!G$106)*(1+'Biomass Data Assumptions'!C$84))*'Prac. Rec. Assumptions'!$B31</f>
        <v>921.02259200616118</v>
      </c>
      <c r="G37" s="294">
        <f>($C37*(1+'Biomass Data Assumptions'!H$106)*(1+'Biomass Data Assumptions'!D$84))*'Prac. Rec. Assumptions'!$B31</f>
        <v>1071.2627197659865</v>
      </c>
      <c r="H37" s="294">
        <f>($C37*(1+'Biomass Data Assumptions'!I$106)*(1+'Biomass Data Assumptions'!E$84))*'Prac. Rec. Assumptions'!$B31</f>
        <v>1231.3098794528473</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6459.4160000000011</v>
      </c>
      <c r="D38" s="294">
        <f>E38*'Conversion Tables'!C35</f>
        <v>57165.831600000005</v>
      </c>
      <c r="E38" s="294">
        <f>C38*'Prac. Rec. Assumptions'!B32</f>
        <v>3229.7080000000005</v>
      </c>
      <c r="F38" s="294">
        <f>($C38*(1+'Biomass Data Assumptions'!G$106)*(1+'Biomass Data Assumptions'!C$84))*'Prac. Rec. Assumptions'!$B32</f>
        <v>3669.2280827103023</v>
      </c>
      <c r="G38" s="294">
        <f>($C38*(1+'Biomass Data Assumptions'!H$106)*(1+'Biomass Data Assumptions'!D$84))*'Prac. Rec. Assumptions'!$B32</f>
        <v>4267.7642106087233</v>
      </c>
      <c r="H38" s="294">
        <f>($C38*(1+'Biomass Data Assumptions'!I$106)*(1+'Biomass Data Assumptions'!E$84))*'Prac. Rec. Assumptions'!$B32</f>
        <v>4905.370212869655</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49934.844000000005</v>
      </c>
      <c r="D39" s="299">
        <f>E39*'Conversion Tables'!C36</f>
        <v>0</v>
      </c>
      <c r="E39" s="299">
        <f>C39*'Prac. Rec. Assumptions'!B33</f>
        <v>0</v>
      </c>
      <c r="F39" s="294">
        <f>($C39*(1+'Biomass Data Assumptions'!G$106)*(1+'Biomass Data Assumptions'!C$84))*'Prac. Rec. Assumptions'!$B33</f>
        <v>0</v>
      </c>
      <c r="G39" s="294">
        <f>($C39*(1+'Biomass Data Assumptions'!H$106)*(1+'Biomass Data Assumptions'!D$84))*'Prac. Rec. Assumptions'!$B33</f>
        <v>0</v>
      </c>
      <c r="H39" s="294">
        <f>($C39*(1+'Biomass Data Assumptions'!I$106)*(1+'Biomass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6351.2190000000001</v>
      </c>
      <c r="D40" s="299">
        <f>E40*'Conversion Tables'!C37</f>
        <v>0</v>
      </c>
      <c r="E40" s="299">
        <f>C40*'Prac. Rec. Assumptions'!B34</f>
        <v>0</v>
      </c>
      <c r="F40" s="294">
        <f>($C40*(1+'Biomass Data Assumptions'!G$106)*(1+'Biomass Data Assumptions'!C$84))*'Prac. Rec. Assumptions'!$B34</f>
        <v>0</v>
      </c>
      <c r="G40" s="294">
        <f>($C40*(1+'Biomass Data Assumptions'!H$106)*(1+'Biomass Data Assumptions'!D$84))*'Prac. Rec. Assumptions'!$B34</f>
        <v>0</v>
      </c>
      <c r="H40" s="294">
        <f>($C40*(1+'Biomass Data Assumptions'!I$106)*(1+'Biomass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20556.972000000002</v>
      </c>
      <c r="D41" s="299">
        <f>E41*'Conversion Tables'!C38</f>
        <v>0</v>
      </c>
      <c r="E41" s="299">
        <f>C41*'Prac. Rec. Assumptions'!B35</f>
        <v>0</v>
      </c>
      <c r="F41" s="294">
        <f>($C41*(1+'Biomass Data Assumptions'!G$106)*(1+'Biomass Data Assumptions'!C$84))*'Prac. Rec. Assumptions'!$B35</f>
        <v>0</v>
      </c>
      <c r="G41" s="294">
        <f>($C41*(1+'Biomass Data Assumptions'!H$106)*(1+'Biomass Data Assumptions'!D$84))*'Prac. Rec. Assumptions'!$B35</f>
        <v>0</v>
      </c>
      <c r="H41" s="294">
        <f>($C41*(1+'Biomass Data Assumptions'!I$106)*(1+'Biomass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7817.661000000001</v>
      </c>
      <c r="D42" s="299">
        <f>E42*'Conversion Tables'!C39</f>
        <v>113528.07304200002</v>
      </c>
      <c r="E42" s="299">
        <f>C42*'Prac. Rec. Assumptions'!B36</f>
        <v>7817.661000000001</v>
      </c>
      <c r="F42" s="294">
        <f>($C42*(1+'Biomass Data Assumptions'!G$106)*(1+'Biomass Data Assumptions'!C$84))*'Prac. Rec. Assumptions'!$B36</f>
        <v>8881.5401523323781</v>
      </c>
      <c r="G42" s="294">
        <f>($C42*(1+'Biomass Data Assumptions'!H$106)*(1+'Biomass Data Assumptions'!D$84))*'Prac. Rec. Assumptions'!$B36</f>
        <v>10330.325164526204</v>
      </c>
      <c r="H42" s="294">
        <f>($C42*(1+'Biomass Data Assumptions'!I$106)*(1+'Biomass Data Assumptions'!E$84))*'Prac. Rec. Assumptions'!$B36</f>
        <v>11873.680655871303</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320349.10332320002</v>
      </c>
      <c r="D43" s="295">
        <f t="shared" si="4"/>
        <v>2712938.4483424039</v>
      </c>
      <c r="E43" s="295">
        <f t="shared" si="4"/>
        <v>172487.98285728003</v>
      </c>
      <c r="F43" s="295">
        <f t="shared" si="4"/>
        <v>183244.58230399044</v>
      </c>
      <c r="G43" s="295">
        <f t="shared" si="4"/>
        <v>199480.61316915404</v>
      </c>
      <c r="H43" s="295">
        <f t="shared" si="4"/>
        <v>214786.81755138672</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260.16000000000003</v>
      </c>
      <c r="D46" s="294">
        <f>E46*'Conversion Tables'!C41</f>
        <v>0</v>
      </c>
      <c r="E46" s="294">
        <f>C46*'Prac. Rec. Assumptions'!B38</f>
        <v>260.16000000000003</v>
      </c>
      <c r="F46" s="294">
        <f>$E46</f>
        <v>260.16000000000003</v>
      </c>
      <c r="G46" s="294">
        <f>$E46</f>
        <v>260.16000000000003</v>
      </c>
      <c r="H46" s="294">
        <f>$E46</f>
        <v>260.16000000000003</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2156.3605800000005</v>
      </c>
      <c r="D47" s="294"/>
      <c r="E47" s="294">
        <f>C47*'Prac. Rec. Assumptions'!B39</f>
        <v>1078.1802900000002</v>
      </c>
      <c r="F47" s="294">
        <f>($C47*(1+'Biomass Data Assumptions'!G$106))*'Prac. Rec. Assumptions'!$B39</f>
        <v>1120.1946878199053</v>
      </c>
      <c r="G47" s="294">
        <f>($C47*(1+'Biomass Data Assumptions'!H$106))*'Prac. Rec. Assumptions'!$B39</f>
        <v>1191.5434624960508</v>
      </c>
      <c r="H47" s="294">
        <f>($C47*(1+'Biomass Data Assumptions'!I$106))*'Prac. Rec. Assumptions'!$B39</f>
        <v>1252.4832647393368</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192.71751974999998</v>
      </c>
      <c r="D48" s="294"/>
      <c r="E48" s="294">
        <f>C48*'Prac. Rec. Assumptions'!B40</f>
        <v>192.71751974999998</v>
      </c>
      <c r="F48" s="294">
        <f>($C48*(1+'Biomass Data Assumptions'!G$106))*'Prac. Rec. Assumptions'!$B40</f>
        <v>200.22731251540282</v>
      </c>
      <c r="G48" s="294">
        <f>($C48*(1+'Biomass Data Assumptions'!H$106))*'Prac. Rec. Assumptions'!$B40</f>
        <v>212.98042905845179</v>
      </c>
      <c r="H48" s="294">
        <f>($C48*(1+'Biomass Data Assumptions'!I$106))*'Prac. Rec. Assumptions'!$B40</f>
        <v>223.87301135781988</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2609.2380997500004</v>
      </c>
      <c r="D49" s="295">
        <f>SUM(D45:D48)</f>
        <v>0</v>
      </c>
      <c r="E49" s="295">
        <f t="shared" si="6"/>
        <v>1531.0578097500004</v>
      </c>
      <c r="F49" s="295">
        <f>SUM(F45:F48)</f>
        <v>1580.5820003353083</v>
      </c>
      <c r="G49" s="295">
        <f>SUM(G45:G48)</f>
        <v>1664.6838915545027</v>
      </c>
      <c r="H49" s="295">
        <f>SUM(H45:H48)</f>
        <v>1736.5162760971568</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225.45904000000002</v>
      </c>
      <c r="D52" s="299">
        <f>E52*'Conversion Tables'!C45</f>
        <v>665.73545331200012</v>
      </c>
      <c r="E52" s="299">
        <f>C52*'Prac. Rec. Assumptions'!B42</f>
        <v>45.091808000000007</v>
      </c>
      <c r="F52" s="294">
        <f t="shared" ref="F52:H59" si="7">$E52</f>
        <v>45.091808000000007</v>
      </c>
      <c r="G52" s="294">
        <f t="shared" si="7"/>
        <v>45.091808000000007</v>
      </c>
      <c r="H52" s="294">
        <f t="shared" si="7"/>
        <v>45.091808000000007</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1793.5516</v>
      </c>
      <c r="D53" s="299">
        <f>E53*'Conversion Tables'!C46</f>
        <v>15887.997493439998</v>
      </c>
      <c r="E53" s="299">
        <f>C53*'Prac. Rec. Assumptions'!B43</f>
        <v>1076.13096</v>
      </c>
      <c r="F53" s="294">
        <f t="shared" si="7"/>
        <v>1076.13096</v>
      </c>
      <c r="G53" s="294">
        <f t="shared" si="7"/>
        <v>1076.13096</v>
      </c>
      <c r="H53" s="294">
        <f t="shared" si="7"/>
        <v>1076.13096</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2605.5634500000001</v>
      </c>
      <c r="D54" s="299">
        <f>E54*'Conversion Tables'!C47</f>
        <v>23081.123265480001</v>
      </c>
      <c r="E54" s="299">
        <f>C54*'Prac. Rec. Assumptions'!B44</f>
        <v>1563.33807</v>
      </c>
      <c r="F54" s="294">
        <f t="shared" si="7"/>
        <v>1563.33807</v>
      </c>
      <c r="G54" s="294">
        <f t="shared" si="7"/>
        <v>1563.33807</v>
      </c>
      <c r="H54" s="294">
        <f t="shared" si="7"/>
        <v>1563.33807</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36.837625000000003</v>
      </c>
      <c r="D55" s="299">
        <f>E55*'Conversion Tables'!C48</f>
        <v>108.7741391</v>
      </c>
      <c r="E55" s="299">
        <f>C55*'Prac. Rec. Assumptions'!B45</f>
        <v>7.3675250000000005</v>
      </c>
      <c r="F55" s="294">
        <f t="shared" si="7"/>
        <v>7.3675250000000005</v>
      </c>
      <c r="G55" s="294">
        <f t="shared" si="7"/>
        <v>7.3675250000000005</v>
      </c>
      <c r="H55" s="294">
        <f t="shared" si="7"/>
        <v>7.3675250000000005</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54.248125000000002</v>
      </c>
      <c r="D56" s="299">
        <f>E56*'Conversion Tables'!C49</f>
        <v>160.1838635</v>
      </c>
      <c r="E56" s="299">
        <f>C56*'Prac. Rec. Assumptions'!B46</f>
        <v>10.849625000000001</v>
      </c>
      <c r="F56" s="294">
        <f t="shared" si="7"/>
        <v>10.849625000000001</v>
      </c>
      <c r="G56" s="294">
        <f t="shared" si="7"/>
        <v>10.849625000000001</v>
      </c>
      <c r="H56" s="294">
        <f t="shared" si="7"/>
        <v>10.849625000000001</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37.312125000000002</v>
      </c>
      <c r="D57" s="299">
        <f>E57*'Conversion Tables'!C50</f>
        <v>275.43810674999997</v>
      </c>
      <c r="E57" s="299">
        <f>C57*'Prac. Rec. Assumptions'!B47</f>
        <v>18.656062500000001</v>
      </c>
      <c r="F57" s="294">
        <f t="shared" si="7"/>
        <v>18.656062500000001</v>
      </c>
      <c r="G57" s="294">
        <f t="shared" si="7"/>
        <v>18.656062500000001</v>
      </c>
      <c r="H57" s="294">
        <f t="shared" si="7"/>
        <v>18.656062500000001</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46.263750000000002</v>
      </c>
      <c r="D58" s="299">
        <f>E58*'Conversion Tables'!C51</f>
        <v>555.16499999999996</v>
      </c>
      <c r="E58" s="299">
        <f>C58*'Prac. Rec. Assumptions'!B48</f>
        <v>46.263750000000002</v>
      </c>
      <c r="F58" s="294">
        <f t="shared" si="7"/>
        <v>46.263750000000002</v>
      </c>
      <c r="G58" s="294">
        <f t="shared" si="7"/>
        <v>46.263750000000002</v>
      </c>
      <c r="H58" s="294">
        <f t="shared" si="7"/>
        <v>46.263750000000002</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2.5253437500000002</v>
      </c>
      <c r="D59" s="299">
        <f>E59*'Conversion Tables'!C52</f>
        <v>37.284175125000004</v>
      </c>
      <c r="E59" s="299">
        <f>C59*'Prac. Rec. Assumptions'!B49</f>
        <v>2.5253437500000002</v>
      </c>
      <c r="F59" s="294">
        <f t="shared" si="7"/>
        <v>2.5253437500000002</v>
      </c>
      <c r="G59" s="294">
        <f t="shared" si="7"/>
        <v>2.5253437500000002</v>
      </c>
      <c r="H59" s="294">
        <f t="shared" si="7"/>
        <v>2.5253437500000002</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Assumptions'!AE21</f>
        <v>2.976237000000765</v>
      </c>
      <c r="D60" s="299">
        <f>E60*'Conversion Tables'!C53</f>
        <v>35.71484400000918</v>
      </c>
      <c r="E60" s="299">
        <f>C60*'Prac. Rec. Assumptions'!B50</f>
        <v>2.976237000000765</v>
      </c>
      <c r="F60" s="294">
        <f>($C60*(1+'Biomass Data Assumptions'!G$106*(4/5)))*'Prac. Rec. Assumptions'!$B50</f>
        <v>3.0690191118491299</v>
      </c>
      <c r="G60" s="294">
        <f>($C60*(1+'Biomass Data Assumptions'!H$106*(9/10)))*'Prac. Rec. Assumptions'!$B50</f>
        <v>3.2578745928918327</v>
      </c>
      <c r="H60" s="294">
        <f>($C60*(1+'Biomass Data Assumptions'!I$106*(14/15)))*'Prac. Rec. Assumptions'!$B50</f>
        <v>3.4253107800956673</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4804.7372957500011</v>
      </c>
      <c r="D61" s="295">
        <f>SUM(D52:D60)</f>
        <v>40807.416340707015</v>
      </c>
      <c r="E61" s="295">
        <f t="shared" ref="E61:P61" si="8">SUM(E52:E60)</f>
        <v>2773.1993812500009</v>
      </c>
      <c r="F61" s="295">
        <f>SUM(F52:F60)</f>
        <v>2773.2921633618494</v>
      </c>
      <c r="G61" s="295">
        <f>SUM(G52:G60)</f>
        <v>2773.4810188428919</v>
      </c>
      <c r="H61" s="295">
        <f>SUM(H52:H60)</f>
        <v>2773.6484550300956</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Assumptions'!AB21</f>
        <v>178.52369365000004</v>
      </c>
      <c r="D63" s="300">
        <f>E63*'Conversion Tables'!C55</f>
        <v>110506.16636935003</v>
      </c>
      <c r="E63" s="299">
        <f>C63*'Prac. Rec. Assumptions'!B51</f>
        <v>178.52369365000004</v>
      </c>
      <c r="F63" s="294">
        <f>($C63*(1+'Biomass Data Assumptions'!G$106*(4/5)))*'Prac. Rec. Assumptions'!$B51</f>
        <v>184.08904523719329</v>
      </c>
      <c r="G63" s="294">
        <f>($C63*(1+'Biomass Data Assumptions'!H$106*(9/10)))*'Prac. Rec. Assumptions'!$B51</f>
        <v>195.41716797801743</v>
      </c>
      <c r="H63" s="294">
        <f>($C63*(1+'Biomass Data Assumptions'!I$106*(14/15)))*'Prac. Rec. Assumptions'!$B51</f>
        <v>205.4604967150413</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Assumptions'!X21</f>
        <v>910.86479999999983</v>
      </c>
      <c r="D64" s="300">
        <f>E64*'Conversion Tables'!C56</f>
        <v>460897.58879999991</v>
      </c>
      <c r="E64" s="299">
        <f>C64*'Prac. Rec. Assumptions'!B52</f>
        <v>910.86479999999983</v>
      </c>
      <c r="F64" s="297">
        <f>($C64*(1+'Biomass Data Assumptions'!G$106*(3/5))*(1+('Biomass Data Assumptions'!C$82-((1+'Biomass Data Assumptions'!$B$82)^2 - 1))))*'Prac. Rec. Assumptions'!$B52</f>
        <v>931.78178140989337</v>
      </c>
      <c r="G64" s="297">
        <f>($C64*(1+'Biomass Data Assumptions'!H$106*(4/5))*(1+('Biomass Data Assumptions'!D$82-((1+'Biomass Data Assumptions'!$B$82)^2 - 1))))*'Prac. Rec. Assumptions'!$B52</f>
        <v>986.40943037904469</v>
      </c>
      <c r="H64" s="297">
        <f>($C64*(1+'Biomass Data Assumptions'!I$106*(13/15))*(1+('Biomass Data Assumptions'!E$82-((1+'Biomass Data Assumptions'!$B$82)^2 - 1))))*'Prac. Rec. Assumptions'!$B52</f>
        <v>1036.6532080211516</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1089.3884936499999</v>
      </c>
      <c r="D65" s="295">
        <f>SUM(D63:D64)</f>
        <v>571403.75516934996</v>
      </c>
      <c r="E65" s="295">
        <f t="shared" ref="E65:P65" si="9">SUM(E63:E64)</f>
        <v>1089.3884936499999</v>
      </c>
      <c r="F65" s="295">
        <f>SUM(F63:F64)</f>
        <v>1115.8708266470867</v>
      </c>
      <c r="G65" s="295">
        <f>SUM(G63:G64)</f>
        <v>1181.826598357062</v>
      </c>
      <c r="H65" s="295">
        <f>SUM(H63:H64)</f>
        <v>1242.1137047361929</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46770.027326514952</v>
      </c>
      <c r="D67" s="295">
        <f t="shared" ref="D67" si="10">D61+D65</f>
        <v>612211.17151005694</v>
      </c>
      <c r="E67" s="295">
        <f>E61+(E63*1000000/29487.1582406855)+(E64*1000000/25364.5039539246)</f>
        <v>44738.489412014955</v>
      </c>
      <c r="F67" s="295">
        <f t="shared" ref="F67:H67" si="11">F61+(F63*1000000/29487.1582406855)+(F64*1000000/25364.5039539246)</f>
        <v>45751.97598710985</v>
      </c>
      <c r="G67" s="295">
        <f t="shared" si="11"/>
        <v>48290.040843437513</v>
      </c>
      <c r="H67" s="295">
        <f t="shared" si="11"/>
        <v>50611.678081158578</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528808.59891613165</v>
      </c>
      <c r="D68" s="132"/>
      <c r="E68" s="132">
        <f>E11+E29+E43+E49+E67</f>
        <v>318813.29049571167</v>
      </c>
      <c r="F68" s="132">
        <f>F11+F29+F43+F49+F67</f>
        <v>332298.59615482867</v>
      </c>
      <c r="G68" s="132">
        <f>G11+G29+G43+G49+G67</f>
        <v>353985.47477391665</v>
      </c>
      <c r="H68" s="132">
        <f>H11+H29+H43+H49+H67</f>
        <v>374101.15748943062</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70</v>
      </c>
      <c r="C74" s="40">
        <f>'Biomass Data Assumptions'!B38*B74</f>
        <v>4571</v>
      </c>
      <c r="D74" s="40">
        <f>(C74*'Biomass Data Assumptions'!C38)/2000</f>
        <v>127.988</v>
      </c>
      <c r="E74" s="41"/>
      <c r="F74" s="41"/>
      <c r="G74" s="41"/>
      <c r="H74" s="36"/>
      <c r="I74" s="36"/>
      <c r="J74" s="36"/>
      <c r="K74" s="36"/>
      <c r="L74" s="36"/>
      <c r="M74" s="36"/>
      <c r="N74" s="36"/>
      <c r="O74" s="36"/>
      <c r="P74" s="36"/>
      <c r="Q74" s="36"/>
      <c r="R74" s="36"/>
    </row>
    <row r="75" spans="1:19" x14ac:dyDescent="0.25">
      <c r="A75" s="39" t="s">
        <v>520</v>
      </c>
      <c r="B75" s="21">
        <v>270</v>
      </c>
      <c r="C75" s="40">
        <f>'Biomass Data Assumptions'!B39*B75</f>
        <v>7371</v>
      </c>
      <c r="D75" s="40">
        <f>(C75*'Biomass Data Assumptions'!C39)/2000</f>
        <v>206.38800000000001</v>
      </c>
      <c r="E75" s="41"/>
      <c r="F75" s="41"/>
      <c r="G75" s="41"/>
      <c r="H75" s="36"/>
      <c r="I75" s="36"/>
      <c r="J75" s="36"/>
      <c r="K75" s="36"/>
      <c r="L75" s="36"/>
      <c r="M75" s="36"/>
      <c r="N75" s="36"/>
      <c r="O75" s="36"/>
      <c r="P75" s="36"/>
      <c r="Q75" s="36"/>
      <c r="R75" s="36"/>
    </row>
    <row r="76" spans="1:19" x14ac:dyDescent="0.25">
      <c r="A76" s="39" t="s">
        <v>521</v>
      </c>
      <c r="B76" s="21">
        <v>169</v>
      </c>
      <c r="C76" s="40">
        <f>'Biomass Data Assumptions'!B40*B76</f>
        <v>21125</v>
      </c>
      <c r="D76" s="40">
        <f>(C76*'Biomass Data Assumptions'!C40)/2000</f>
        <v>591.5</v>
      </c>
      <c r="E76" s="41"/>
      <c r="F76" s="41"/>
      <c r="G76" s="41"/>
      <c r="H76" s="36"/>
      <c r="I76" s="36"/>
      <c r="J76" s="36"/>
      <c r="K76" s="36"/>
      <c r="L76" s="36"/>
      <c r="M76" s="36"/>
      <c r="N76" s="36"/>
      <c r="O76" s="36"/>
      <c r="P76" s="36"/>
      <c r="Q76" s="36"/>
      <c r="R76" s="36"/>
    </row>
    <row r="77" spans="1:19" x14ac:dyDescent="0.25">
      <c r="A77" s="39" t="s">
        <v>525</v>
      </c>
      <c r="B77" s="21">
        <v>271</v>
      </c>
      <c r="C77" s="40">
        <f>'Biomass Data Assumptions'!B41*B77</f>
        <v>8672</v>
      </c>
      <c r="D77" s="40">
        <f>(C77*'Biomass Data Assumptions'!C41)/2000</f>
        <v>260.16000000000003</v>
      </c>
      <c r="E77" s="41"/>
      <c r="F77" s="41"/>
      <c r="G77" s="41"/>
      <c r="H77" s="36"/>
      <c r="I77" s="36"/>
      <c r="J77" s="36"/>
      <c r="K77" s="36"/>
      <c r="L77" s="36"/>
      <c r="M77" s="36"/>
      <c r="N77" s="36"/>
      <c r="O77" s="36"/>
      <c r="P77" s="36"/>
      <c r="Q77" s="36"/>
      <c r="R77" s="36"/>
    </row>
    <row r="78" spans="1:19" x14ac:dyDescent="0.25">
      <c r="A78" s="39" t="s">
        <v>522</v>
      </c>
      <c r="B78" s="21">
        <v>50</v>
      </c>
      <c r="C78" s="40">
        <f>'Biomass Data Assumptions'!B42*B78</f>
        <v>2700</v>
      </c>
      <c r="D78" s="40">
        <f>(C78*'Biomass Data Assumptions'!C42)/2000</f>
        <v>81</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62</v>
      </c>
      <c r="C81" s="40">
        <f>'Biomass Data Assumptions'!B49*B81</f>
        <v>62</v>
      </c>
      <c r="D81" s="40">
        <f>C81*'Energy Content Assumptions'!C11</f>
        <v>52.699999999999996</v>
      </c>
      <c r="E81" s="41"/>
      <c r="F81" s="41"/>
      <c r="G81" s="41"/>
      <c r="H81" s="36"/>
      <c r="I81" s="36"/>
      <c r="J81" s="36"/>
      <c r="K81" s="36"/>
      <c r="L81" s="36"/>
      <c r="M81" s="36"/>
      <c r="N81" s="36"/>
      <c r="O81" s="36"/>
      <c r="P81" s="36"/>
      <c r="Q81" s="36"/>
      <c r="R81" s="36"/>
    </row>
    <row r="82" spans="1:18" x14ac:dyDescent="0.25">
      <c r="A82" s="39" t="s">
        <v>520</v>
      </c>
      <c r="B82" s="21">
        <f>270+223</f>
        <v>493</v>
      </c>
      <c r="C82" s="40">
        <f>'Biomass Data Assumptions'!B50*B82</f>
        <v>1109.25</v>
      </c>
      <c r="D82" s="40">
        <f>C82*'Energy Content Assumptions'!C12</f>
        <v>942.86249999999995</v>
      </c>
      <c r="E82" s="41"/>
      <c r="F82" s="41"/>
      <c r="G82" s="41"/>
      <c r="H82" s="36"/>
      <c r="I82" s="36"/>
      <c r="J82" s="36"/>
      <c r="K82" s="36"/>
      <c r="L82" s="36"/>
      <c r="M82" s="36"/>
      <c r="N82" s="36"/>
      <c r="O82" s="36"/>
      <c r="P82" s="36"/>
      <c r="Q82" s="36"/>
      <c r="R82" s="36"/>
    </row>
    <row r="83" spans="1:18" x14ac:dyDescent="0.25">
      <c r="A83" s="39" t="s">
        <v>521</v>
      </c>
      <c r="B83" s="21">
        <v>169</v>
      </c>
      <c r="C83" s="40">
        <f>'Biomass Data Assumptions'!B51*B83</f>
        <v>422.5</v>
      </c>
      <c r="D83" s="40">
        <f>C83*'Energy Content Assumptions'!C13</f>
        <v>359.125</v>
      </c>
      <c r="E83" s="41"/>
      <c r="F83" s="41"/>
      <c r="G83" s="41"/>
      <c r="H83" s="36"/>
      <c r="I83" s="36"/>
      <c r="J83" s="36"/>
      <c r="K83" s="36"/>
      <c r="L83" s="36"/>
      <c r="M83" s="36"/>
      <c r="N83" s="36"/>
      <c r="O83" s="36"/>
      <c r="P83" s="36"/>
      <c r="Q83" s="36"/>
      <c r="R83" s="36"/>
    </row>
    <row r="84" spans="1:18" x14ac:dyDescent="0.25">
      <c r="A84" s="39" t="s">
        <v>528</v>
      </c>
      <c r="B84" s="21">
        <v>157</v>
      </c>
      <c r="C84" s="40">
        <f>'Biomass Data Assumptions'!B52*B84</f>
        <v>2574.7999999999997</v>
      </c>
      <c r="D84" s="40">
        <f>C84*'Energy Content Assumptions'!C14</f>
        <v>901.17999999999984</v>
      </c>
      <c r="E84" s="41"/>
      <c r="F84" s="41"/>
      <c r="G84" s="41"/>
      <c r="H84" s="36"/>
      <c r="I84" s="36"/>
      <c r="J84" s="36"/>
      <c r="K84" s="36"/>
      <c r="L84" s="36"/>
      <c r="M84" s="36"/>
      <c r="N84" s="36"/>
      <c r="O84" s="36"/>
      <c r="P84" s="36"/>
      <c r="Q84" s="36"/>
      <c r="R84" s="36"/>
    </row>
    <row r="85" spans="1:18" x14ac:dyDescent="0.25">
      <c r="A85" s="39" t="s">
        <v>529</v>
      </c>
      <c r="B85" s="21">
        <v>156</v>
      </c>
      <c r="C85" s="40">
        <f>'Biomass Data Assumptions'!B53*B85</f>
        <v>499.20000000000005</v>
      </c>
      <c r="D85" s="40">
        <f>C85*'Energy Content Assumptions'!C15</f>
        <v>424.32000000000005</v>
      </c>
      <c r="E85" s="41"/>
      <c r="F85" s="41"/>
      <c r="G85" s="41"/>
      <c r="H85" s="36"/>
      <c r="I85" s="36"/>
      <c r="J85" s="36"/>
      <c r="K85" s="36"/>
      <c r="L85" s="36"/>
      <c r="M85" s="36"/>
      <c r="N85" s="36"/>
      <c r="O85" s="36"/>
      <c r="P85" s="36"/>
      <c r="Q85" s="36"/>
      <c r="R85" s="36"/>
    </row>
    <row r="86" spans="1:18" x14ac:dyDescent="0.25">
      <c r="A86" s="39" t="s">
        <v>530</v>
      </c>
      <c r="B86" s="21">
        <v>597</v>
      </c>
      <c r="C86" s="40">
        <f>'Biomass Data Assumptions'!B54*B86</f>
        <v>1014.9</v>
      </c>
      <c r="D86" s="40">
        <f>C86*'Energy Content Assumptions'!C16</f>
        <v>862.66499999999996</v>
      </c>
      <c r="E86" s="41"/>
      <c r="F86" s="41"/>
      <c r="G86" s="41"/>
      <c r="H86" s="36"/>
      <c r="I86" s="36"/>
      <c r="J86" s="36"/>
      <c r="K86" s="36"/>
      <c r="L86" s="36"/>
      <c r="M86" s="36"/>
      <c r="N86" s="36"/>
      <c r="O86" s="36"/>
      <c r="P86" s="36"/>
      <c r="Q86" s="36"/>
      <c r="R86" s="36"/>
    </row>
    <row r="87" spans="1:18" x14ac:dyDescent="0.25">
      <c r="A87" s="39" t="s">
        <v>522</v>
      </c>
      <c r="B87" s="21">
        <v>50</v>
      </c>
      <c r="C87" s="40">
        <f>'Biomass Data Assumptions'!B55*B87</f>
        <v>87.5</v>
      </c>
      <c r="D87" s="40">
        <f>C87*'Energy Content Assumptions'!C17</f>
        <v>74.375</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ht="11.25" customHeight="1" x14ac:dyDescent="0.25">
      <c r="A93" s="42"/>
      <c r="B93" s="38"/>
      <c r="C93" s="38"/>
      <c r="D93" s="38"/>
      <c r="E93" s="38"/>
      <c r="F93" s="36"/>
      <c r="G93" s="36"/>
      <c r="H93" s="36"/>
      <c r="I93" s="36"/>
      <c r="J93" s="38"/>
      <c r="K93" s="38"/>
      <c r="L93" s="38"/>
      <c r="M93" s="38"/>
      <c r="N93" s="36"/>
      <c r="O93" s="36"/>
      <c r="P93" s="36"/>
      <c r="Q93" s="36"/>
      <c r="R93" s="36"/>
    </row>
    <row r="94" spans="1:18" hidden="1" x14ac:dyDescent="0.25">
      <c r="A94" s="43" t="s">
        <v>535</v>
      </c>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199</v>
      </c>
      <c r="C97" s="41">
        <f>ROUND('Biomass Data Assumptions'!$B$60/1000*B97,0)</f>
        <v>199</v>
      </c>
      <c r="D97" s="41">
        <f>'Biomass Data Assumptions'!$C$60*C97</f>
        <v>6682420</v>
      </c>
      <c r="E97" s="41">
        <f>('Biomass Data Assumptions'!$D$60*'Energy Content Assumptions'!$C$44*D97)/2000</f>
        <v>80.189040000000006</v>
      </c>
      <c r="F97" s="41">
        <f>('Biomass Data Assumptions'!$E$60*B97*365)/2000</f>
        <v>145.27000000000001</v>
      </c>
      <c r="G97" s="41">
        <f>F97+E97</f>
        <v>225.45904000000002</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140</v>
      </c>
      <c r="C100" s="41">
        <f>ROUND('Biomass Data Assumptions'!B62/1000*B100,0)</f>
        <v>49</v>
      </c>
      <c r="D100" s="41">
        <f>'Biomass Data Assumptions'!C62*C100</f>
        <v>1430800</v>
      </c>
      <c r="E100" s="41">
        <f>('Biomass Data Assumptions'!D62*'Energy Content Assumptions'!C46*D100)/2000</f>
        <v>64.385999999999996</v>
      </c>
      <c r="F100" s="41">
        <f>('Biomass Data Assumptions'!E62*B100*365)/2000</f>
        <v>127.75</v>
      </c>
      <c r="G100" s="41">
        <f>F100+E100</f>
        <v>192.136</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366</v>
      </c>
      <c r="C102" s="41">
        <f>ROUND('Biomass Data Assumptions'!B64/1000*B102,0)</f>
        <v>512</v>
      </c>
      <c r="D102" s="41">
        <f>'Biomass Data Assumptions'!C64*C102</f>
        <v>20743680</v>
      </c>
      <c r="E102" s="41">
        <f>('Biomass Data Assumptions'!D64*'Energy Content Assumptions'!C48*D102)/2000</f>
        <v>933.46559999999999</v>
      </c>
      <c r="F102" s="41">
        <f>'Biomass Data Assumptions'!E64*B102*365/2000</f>
        <v>667.95</v>
      </c>
      <c r="G102" s="41">
        <f>F102+E102</f>
        <v>1601.4156</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f t="shared" ref="B104:G104" si="14">SUM(B100:B103)</f>
        <v>506</v>
      </c>
      <c r="C104" s="41">
        <f t="shared" si="14"/>
        <v>561</v>
      </c>
      <c r="D104" s="41">
        <f t="shared" si="14"/>
        <v>22174480</v>
      </c>
      <c r="E104" s="41">
        <f t="shared" si="14"/>
        <v>997.85159999999996</v>
      </c>
      <c r="F104" s="41">
        <f t="shared" si="14"/>
        <v>795.7</v>
      </c>
      <c r="G104" s="41">
        <f t="shared" si="14"/>
        <v>1793.5516</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756</v>
      </c>
      <c r="C106" s="41">
        <f>ROUND('Biomass Data Assumptions'!B66/1000*B106,0)</f>
        <v>756</v>
      </c>
      <c r="D106" s="41">
        <f>'Biomass Data Assumptions'!C66*C106</f>
        <v>15314670</v>
      </c>
      <c r="E106" s="41">
        <f>('Biomass Data Assumptions'!D66*'Energy Content Assumptions'!C50*D106)/2000</f>
        <v>536.01345000000003</v>
      </c>
      <c r="F106" s="41">
        <f>'Biomass Data Assumptions'!E66*B106*365/2000</f>
        <v>2069.5500000000002</v>
      </c>
      <c r="G106" s="41">
        <f>F106+E106</f>
        <v>2605.5634500000001</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167</v>
      </c>
      <c r="C108" s="41">
        <f>ROUND('Biomass Data Assumptions'!B67/1000*B108,0)</f>
        <v>17</v>
      </c>
      <c r="D108" s="41">
        <f>'Biomass Data Assumptions'!C67*C108</f>
        <v>254405</v>
      </c>
      <c r="E108" s="41">
        <f>('Biomass Data Assumptions'!D67*'Energy Content Assumptions'!C51*D108)/2000</f>
        <v>6.360125</v>
      </c>
      <c r="F108" s="41">
        <f>'Biomass Data Assumptions'!E67*B108*365/2000</f>
        <v>30.477499999999999</v>
      </c>
      <c r="G108" s="41">
        <f>F108+E108</f>
        <v>36.837625000000003</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246</v>
      </c>
      <c r="C110" s="41">
        <f>ROUND('Biomass Data Assumptions'!B68/1000*B110,0)</f>
        <v>25</v>
      </c>
      <c r="D110" s="41">
        <f>'Biomass Data Assumptions'!C68*C110</f>
        <v>374125</v>
      </c>
      <c r="E110" s="41">
        <f>('Biomass Data Assumptions'!D68*'Energy Content Assumptions'!C52*D110)/2000</f>
        <v>9.3531250000000004</v>
      </c>
      <c r="F110" s="41">
        <f>'Biomass Data Assumptions'!E68*B110*365/2000</f>
        <v>44.895000000000003</v>
      </c>
      <c r="G110" s="41">
        <f>F110+E110</f>
        <v>54.248125000000002</v>
      </c>
      <c r="H110" s="36"/>
      <c r="I110" s="36"/>
      <c r="J110" s="41"/>
      <c r="K110" s="41"/>
      <c r="L110" s="41"/>
      <c r="M110" s="41"/>
      <c r="N110" s="36"/>
      <c r="O110" s="36"/>
      <c r="P110" s="36"/>
      <c r="Q110" s="36"/>
      <c r="R110" s="36"/>
    </row>
    <row r="111" spans="1:18" ht="12" customHeight="1" x14ac:dyDescent="0.25">
      <c r="A111" s="43"/>
      <c r="B111" s="41"/>
      <c r="C111" s="41"/>
      <c r="D111" s="41"/>
      <c r="E111" s="41"/>
      <c r="F111" s="41"/>
      <c r="G111" s="41"/>
      <c r="H111" s="36"/>
      <c r="I111" s="36"/>
      <c r="J111" s="41"/>
      <c r="K111" s="41"/>
      <c r="L111" s="41"/>
      <c r="M111" s="41"/>
      <c r="N111" s="36"/>
      <c r="O111" s="36"/>
      <c r="P111" s="36"/>
      <c r="Q111" s="36"/>
      <c r="R111" s="36"/>
    </row>
    <row r="112" spans="1:18" ht="1.5" hidden="1" customHeight="1" x14ac:dyDescent="0.25">
      <c r="A112" s="43" t="s">
        <v>548</v>
      </c>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217</v>
      </c>
      <c r="C115" s="41">
        <f>ROUND('Biomass Data Assumptions'!$B$71/1000*B115,0)</f>
        <v>87</v>
      </c>
      <c r="D115" s="41">
        <f>'Biomass Data Assumptions'!$C$71*C115</f>
        <v>1492485</v>
      </c>
      <c r="E115" s="41">
        <f>('Biomass Data Assumptions'!$D$71*'Energy Content Assumptions'!$C$55*D115)/2000</f>
        <v>37.312125000000002</v>
      </c>
      <c r="F115" s="41">
        <f>'Biomass Data Assumptions'!$E$71*B115*365/2000</f>
        <v>0</v>
      </c>
      <c r="G115" s="41">
        <f>F115+E115</f>
        <v>37.312125000000002</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4105+307+730</f>
        <v>5142</v>
      </c>
      <c r="C117" s="41">
        <f>ROUND('Biomass Data Assumptions'!B72/1000*B117,0)</f>
        <v>26</v>
      </c>
      <c r="D117" s="41">
        <f>'Biomass Data Assumptions'!C72*C117</f>
        <v>474500</v>
      </c>
      <c r="E117" s="41">
        <f>('Biomass Data Assumptions'!D72*'Energy Content Assumptions'!C56*D117)/2000</f>
        <v>46.263750000000002</v>
      </c>
      <c r="F117" s="41">
        <f>'Biomass Data Assumptions'!E72*B117*365/2000</f>
        <v>0</v>
      </c>
      <c r="G117" s="41">
        <f>F117+E117</f>
        <v>46.263750000000002</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69</v>
      </c>
      <c r="C119" s="41">
        <f>ROUND('Biomass Data Assumptions'!B73/1000*B119,0)</f>
        <v>1</v>
      </c>
      <c r="D119" s="41">
        <f>'Biomass Data Assumptions'!C73*C119</f>
        <v>13505</v>
      </c>
      <c r="E119" s="41">
        <f>('Biomass Data Assumptions'!D73*'Energy Content Assumptions'!C57*D119)/2000</f>
        <v>1.26609375</v>
      </c>
      <c r="F119" s="41">
        <f>'Biomass Data Assumptions'!E73*B119*365/2000</f>
        <v>1.25925</v>
      </c>
      <c r="G119" s="41">
        <f>F119+E119</f>
        <v>2.5253437500000002</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5">B97+B104+B106+B108+B110+B115+B117+B119</f>
        <v>7302</v>
      </c>
      <c r="C121" s="48">
        <f t="shared" si="15"/>
        <v>1672</v>
      </c>
      <c r="D121" s="48">
        <f t="shared" si="15"/>
        <v>46780590</v>
      </c>
      <c r="E121" s="48">
        <f t="shared" si="15"/>
        <v>1714.6093087500001</v>
      </c>
      <c r="F121" s="48">
        <f t="shared" si="15"/>
        <v>3087.1517500000004</v>
      </c>
      <c r="G121" s="48">
        <f t="shared" si="15"/>
        <v>4801.7610587500003</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6" t="s">
        <v>1013</v>
      </c>
      <c r="E123" s="36"/>
      <c r="F123" s="36"/>
      <c r="G123" s="36"/>
      <c r="H123" s="36"/>
      <c r="I123" s="36"/>
      <c r="J123" s="36"/>
      <c r="K123" s="36"/>
      <c r="L123" s="36"/>
      <c r="M123" s="36"/>
      <c r="N123" s="36"/>
      <c r="O123" s="36"/>
      <c r="P123" s="36"/>
      <c r="Q123" s="36"/>
      <c r="R123" s="36"/>
    </row>
    <row r="124" spans="1:18" x14ac:dyDescent="0.25">
      <c r="A124" s="50" t="s">
        <v>555</v>
      </c>
      <c r="B124" s="87">
        <v>55483.16</v>
      </c>
      <c r="C124" s="543">
        <f>B124*'Energy Content Assumptions'!C33</f>
        <v>49934.844000000005</v>
      </c>
      <c r="D124" s="36"/>
      <c r="E124" s="36"/>
      <c r="F124" s="36"/>
      <c r="G124" s="36"/>
      <c r="H124" s="36"/>
      <c r="I124" s="36"/>
      <c r="J124" s="36"/>
      <c r="K124" s="36"/>
      <c r="L124" s="36"/>
      <c r="M124" s="36"/>
      <c r="N124" s="36"/>
      <c r="O124" s="36"/>
      <c r="P124" s="36"/>
      <c r="Q124" s="36"/>
      <c r="R124" s="36"/>
    </row>
    <row r="125" spans="1:18" x14ac:dyDescent="0.25">
      <c r="A125" s="50" t="s">
        <v>556</v>
      </c>
      <c r="B125" s="87">
        <v>7056.91</v>
      </c>
      <c r="C125" s="543">
        <f>B125*'Energy Content Assumptions'!C34</f>
        <v>6351.2190000000001</v>
      </c>
      <c r="D125" s="36"/>
      <c r="E125" s="36"/>
      <c r="F125" s="36"/>
      <c r="G125" s="36"/>
      <c r="H125" s="36"/>
      <c r="I125" s="36"/>
      <c r="J125" s="36"/>
      <c r="K125" s="36"/>
      <c r="L125" s="36"/>
      <c r="M125" s="36"/>
      <c r="N125" s="36"/>
      <c r="O125" s="36"/>
      <c r="P125" s="36"/>
      <c r="Q125" s="36"/>
      <c r="R125" s="36"/>
    </row>
    <row r="126" spans="1:18" x14ac:dyDescent="0.25">
      <c r="A126" s="50" t="s">
        <v>557</v>
      </c>
      <c r="B126" s="87">
        <v>22841.08</v>
      </c>
      <c r="C126" s="543">
        <f>B126*'Energy Content Assumptions'!C35</f>
        <v>20556.972000000002</v>
      </c>
      <c r="D126" s="36"/>
      <c r="E126" s="36"/>
      <c r="F126" s="36"/>
      <c r="G126" s="36"/>
      <c r="H126" s="36"/>
      <c r="I126" s="36"/>
      <c r="J126" s="36"/>
      <c r="K126" s="36"/>
      <c r="L126" s="36"/>
      <c r="M126" s="36"/>
      <c r="N126" s="36"/>
      <c r="O126" s="36"/>
      <c r="P126" s="36"/>
      <c r="Q126" s="36"/>
      <c r="R126" s="36"/>
    </row>
    <row r="127" spans="1:18" x14ac:dyDescent="0.25">
      <c r="A127" s="50" t="s">
        <v>558</v>
      </c>
      <c r="B127" s="87">
        <v>8686.2900000000009</v>
      </c>
      <c r="C127" s="543">
        <f>B127*'Energy Content Assumptions'!C36</f>
        <v>7817.661000000001</v>
      </c>
      <c r="D127" s="36"/>
      <c r="E127" s="36"/>
      <c r="F127" s="36"/>
      <c r="G127" s="36"/>
      <c r="H127" s="36"/>
      <c r="I127" s="36"/>
      <c r="J127" s="36"/>
      <c r="K127" s="36"/>
      <c r="L127" s="36"/>
      <c r="M127" s="36"/>
      <c r="N127" s="36"/>
      <c r="O127" s="36"/>
      <c r="P127" s="36"/>
      <c r="Q127" s="36"/>
      <c r="R127" s="36"/>
    </row>
    <row r="128" spans="1:18" x14ac:dyDescent="0.25">
      <c r="A128" s="50" t="s">
        <v>559</v>
      </c>
      <c r="B128" s="87">
        <v>39908.910000000003</v>
      </c>
      <c r="C128" s="543">
        <f>B128*'Energy Content Assumptions'!C21</f>
        <v>19954.455000000002</v>
      </c>
      <c r="D128" s="36"/>
      <c r="E128" s="36"/>
      <c r="F128" s="36"/>
      <c r="G128" s="36"/>
      <c r="H128" s="36"/>
      <c r="I128" s="36"/>
      <c r="J128" s="36"/>
      <c r="K128" s="36"/>
      <c r="L128" s="36"/>
      <c r="M128" s="36"/>
      <c r="N128" s="36"/>
      <c r="O128" s="36"/>
      <c r="P128" s="36"/>
      <c r="Q128" s="36"/>
      <c r="R128" s="36"/>
    </row>
    <row r="129" spans="1:18" x14ac:dyDescent="0.25">
      <c r="A129" s="50" t="s">
        <v>560</v>
      </c>
      <c r="B129" s="87">
        <v>557.16</v>
      </c>
      <c r="C129" s="543">
        <f>B129*'Energy Content Assumptions'!C22</f>
        <v>185.71999999999997</v>
      </c>
      <c r="D129" s="36"/>
      <c r="E129" s="36"/>
      <c r="F129" s="36"/>
      <c r="G129" s="36"/>
      <c r="H129" s="36"/>
      <c r="I129" s="36"/>
      <c r="J129" s="36"/>
      <c r="K129" s="36"/>
      <c r="L129" s="36"/>
      <c r="M129" s="36"/>
      <c r="N129" s="36"/>
      <c r="O129" s="36"/>
      <c r="P129" s="36"/>
      <c r="Q129" s="36"/>
      <c r="R129" s="36"/>
    </row>
    <row r="130" spans="1:18" x14ac:dyDescent="0.25">
      <c r="A130" s="50" t="s">
        <v>561</v>
      </c>
      <c r="B130" s="87">
        <v>47261.09</v>
      </c>
      <c r="C130" s="543">
        <f>B130*'Energy Content Assumptions'!C23</f>
        <v>15753.696666666665</v>
      </c>
      <c r="D130" s="36"/>
      <c r="E130" s="36"/>
      <c r="F130" s="36"/>
      <c r="G130" s="36"/>
      <c r="H130" s="36"/>
      <c r="I130" s="36"/>
      <c r="J130" s="36"/>
      <c r="K130" s="36"/>
      <c r="L130" s="36"/>
      <c r="M130" s="36"/>
      <c r="N130" s="36"/>
      <c r="O130" s="36"/>
      <c r="P130" s="36"/>
      <c r="Q130" s="36"/>
      <c r="R130" s="36"/>
    </row>
    <row r="131" spans="1:18" x14ac:dyDescent="0.25">
      <c r="A131" s="50" t="s">
        <v>562</v>
      </c>
      <c r="B131" s="87">
        <v>13702.95</v>
      </c>
      <c r="C131" s="543">
        <f>B131*'Energy Content Assumptions'!C24</f>
        <v>6851.4750000000004</v>
      </c>
      <c r="D131" s="36"/>
      <c r="E131" s="36"/>
      <c r="F131" s="36"/>
      <c r="G131" s="36"/>
      <c r="H131" s="36"/>
      <c r="I131" s="36"/>
      <c r="J131" s="36"/>
      <c r="K131" s="36"/>
      <c r="L131" s="36"/>
      <c r="M131" s="36"/>
      <c r="N131" s="36"/>
      <c r="O131" s="36"/>
      <c r="P131" s="36"/>
      <c r="Q131" s="36"/>
      <c r="R131" s="36"/>
    </row>
    <row r="132" spans="1:18" x14ac:dyDescent="0.25">
      <c r="A132" s="50" t="s">
        <v>563</v>
      </c>
      <c r="B132" s="87">
        <v>3242.79</v>
      </c>
      <c r="C132" s="543">
        <f>B132*'Energy Content Assumptions'!C31</f>
        <v>810.69749999999999</v>
      </c>
      <c r="D132" s="36"/>
      <c r="E132" s="36"/>
      <c r="F132" s="36"/>
      <c r="G132" s="36"/>
      <c r="H132" s="36"/>
      <c r="I132" s="36"/>
      <c r="J132" s="36"/>
      <c r="K132" s="36"/>
      <c r="L132" s="36"/>
      <c r="M132" s="36"/>
      <c r="N132" s="36"/>
      <c r="O132" s="36"/>
      <c r="P132" s="36"/>
      <c r="Q132" s="36"/>
      <c r="R132" s="36"/>
    </row>
    <row r="133" spans="1:18" x14ac:dyDescent="0.25">
      <c r="A133" s="50" t="s">
        <v>564</v>
      </c>
      <c r="B133" s="87">
        <v>0.78</v>
      </c>
      <c r="C133" s="543">
        <f>B133*'Energy Content Assumptions'!C19</f>
        <v>0.70200000000000007</v>
      </c>
      <c r="D133" s="36"/>
      <c r="E133" s="36"/>
      <c r="F133" s="36"/>
      <c r="G133" s="36"/>
      <c r="H133" s="36"/>
      <c r="I133" s="36"/>
      <c r="J133" s="36"/>
      <c r="K133" s="36"/>
      <c r="L133" s="36"/>
      <c r="M133" s="36"/>
      <c r="N133" s="36"/>
      <c r="O133" s="36"/>
      <c r="P133" s="36"/>
      <c r="Q133" s="36"/>
      <c r="R133" s="36"/>
    </row>
    <row r="134" spans="1:18" x14ac:dyDescent="0.25">
      <c r="A134" s="50" t="s">
        <v>565</v>
      </c>
      <c r="B134" s="87">
        <v>8074.27</v>
      </c>
      <c r="C134" s="543">
        <f>B134*'Energy Content Assumptions'!C32</f>
        <v>6459.4160000000011</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Assumptions'!$M$21</f>
        <v>630114.88</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Assumptions'!$F$21</f>
        <v>391739.92</v>
      </c>
      <c r="C138" s="543">
        <f>B138*'Energy Content Assumptions'!$C$28</f>
        <v>195869.96</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Assumptions'!$H$21</f>
        <v>156.9</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Assumptions'!$I$21</f>
        <v>391583.01999999996</v>
      </c>
      <c r="C140" s="543">
        <f>B140*'Energy Content Assumptions'!$C$28</f>
        <v>195791.50999999998</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Assumptions'!J21,'Biomass Data Assumptions'!F21*'Biomass Data Assumptions'!I41)</f>
        <v>61948.433763999994</v>
      </c>
      <c r="C141" s="543">
        <f>B141*'Energy Content Assumptions'!C26</f>
        <v>18584.530129199997</v>
      </c>
      <c r="D141" s="36"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Assumptions'!K21,'Biomass Data Assumptions'!F21*'Biomass Data Assumptions'!I42)</f>
        <v>76162.897389999998</v>
      </c>
      <c r="C142" s="543">
        <f>B142*'Energy Content Assumptions'!C27</f>
        <v>68546.607650999998</v>
      </c>
      <c r="D142" s="36"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Assumptions'!L21,'Biomass Data Assumptions'!F21*'Biomass Data Assumptions'!I43)</f>
        <v>105453.30728599998</v>
      </c>
      <c r="C143" s="543">
        <f>B143*'Energy Content Assumptions'!$C$28</f>
        <v>52726.653642999991</v>
      </c>
      <c r="D143" s="546" t="s">
        <v>1064</v>
      </c>
      <c r="E143" s="36"/>
      <c r="F143" s="36"/>
      <c r="G143" s="36"/>
      <c r="H143" s="36"/>
      <c r="I143" s="36"/>
      <c r="J143" s="36"/>
      <c r="K143" s="36"/>
      <c r="L143" s="36"/>
      <c r="M143" s="36"/>
      <c r="N143" s="36"/>
      <c r="O143" s="36"/>
      <c r="P143" s="36"/>
      <c r="Q143" s="36"/>
      <c r="R143" s="36"/>
    </row>
    <row r="144" spans="1:18" x14ac:dyDescent="0.25">
      <c r="A144" s="50" t="s">
        <v>463</v>
      </c>
      <c r="B144" s="87">
        <v>276751.57</v>
      </c>
      <c r="C144" s="543">
        <f>B144*'Energy Content Assumptions'!C29</f>
        <v>221401.25600000002</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88560.502400000012</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Assumptions'!R21/2000</f>
        <v>2536.8948000000005</v>
      </c>
      <c r="C148" s="1239">
        <f>B148*'Energy Content Assumptions'!C39</f>
        <v>2156.3605800000005</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Assumptions'!S21/2000</f>
        <v>3854.3503949999995</v>
      </c>
      <c r="C149" s="1239">
        <f>B149*'Energy Content Assumptions'!C40</f>
        <v>192.71751974999998</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S199"/>
  <sheetViews>
    <sheetView topLeftCell="A104"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576</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2010</v>
      </c>
      <c r="J4" s="22">
        <v>2015</v>
      </c>
      <c r="K4" s="22">
        <v>2020</v>
      </c>
      <c r="L4" s="22">
        <v>2025</v>
      </c>
      <c r="M4" s="22">
        <v>2010</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0</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0</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3.5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0</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3.5</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15.299999999999999</v>
      </c>
      <c r="D15" s="294">
        <f>E15*'Conversion Tables'!C14</f>
        <v>192.55967999999999</v>
      </c>
      <c r="E15" s="294">
        <f>C15*'Prac. Rec. Assumptions'!B11</f>
        <v>12.24</v>
      </c>
      <c r="F15" s="294">
        <f>$E15</f>
        <v>12.24</v>
      </c>
      <c r="G15" s="294">
        <f>$E15</f>
        <v>12.24</v>
      </c>
      <c r="H15" s="294">
        <f>$E15</f>
        <v>12.24</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1.9124999999999999</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0</v>
      </c>
      <c r="D17" s="294">
        <f>E17*'Conversion Tables'!C16</f>
        <v>0</v>
      </c>
      <c r="E17" s="294">
        <f>C17*'Prac. Rec. Assumptions'!B13</f>
        <v>0</v>
      </c>
      <c r="F17" s="294">
        <f t="shared" si="2"/>
        <v>0</v>
      </c>
      <c r="G17" s="294">
        <f t="shared" si="2"/>
        <v>0</v>
      </c>
      <c r="H17" s="294">
        <f t="shared" si="2"/>
        <v>0</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0</v>
      </c>
      <c r="D18" s="294">
        <f>E18*'Conversion Tables'!C17</f>
        <v>0</v>
      </c>
      <c r="E18" s="294">
        <f>C18*'Prac. Rec. Assumptions'!B14</f>
        <v>0</v>
      </c>
      <c r="F18" s="294">
        <f t="shared" si="2"/>
        <v>0</v>
      </c>
      <c r="G18" s="294">
        <f t="shared" si="2"/>
        <v>0</v>
      </c>
      <c r="H18" s="294">
        <f t="shared" si="2"/>
        <v>0</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19.040000000000003</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52.019999999999996</v>
      </c>
      <c r="D20" s="294">
        <f>E20*'Conversion Tables'!C19</f>
        <v>405.75599999999997</v>
      </c>
      <c r="E20" s="294">
        <f>C20*'Prac. Rec. Assumptions'!B16</f>
        <v>26.009999999999998</v>
      </c>
      <c r="F20" s="294">
        <f t="shared" si="2"/>
        <v>26.009999999999998</v>
      </c>
      <c r="G20" s="294">
        <f t="shared" si="2"/>
        <v>26.009999999999998</v>
      </c>
      <c r="H20" s="294">
        <f t="shared" si="2"/>
        <v>26.009999999999998</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0</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Assumptions'!P22*1000*'Energy Content Assumptions'!C18</f>
        <v>35198</v>
      </c>
      <c r="D22" s="294">
        <f>E22*'Conversion Tables'!C21</f>
        <v>274544.39999999997</v>
      </c>
      <c r="E22" s="294">
        <f>C22*'Prac. Rec. Assumptions'!B18</f>
        <v>17599</v>
      </c>
      <c r="F22" s="294">
        <f t="shared" si="2"/>
        <v>17599</v>
      </c>
      <c r="G22" s="294">
        <f t="shared" si="2"/>
        <v>17599</v>
      </c>
      <c r="H22" s="294">
        <f t="shared" si="2"/>
        <v>17599</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206.74</v>
      </c>
      <c r="D23" s="294">
        <f>E23*'Conversion Tables'!C22</f>
        <v>3377.3046399999998</v>
      </c>
      <c r="E23" s="294">
        <f>C23*'Prac. Rec. Assumptions'!B19</f>
        <v>206.74</v>
      </c>
      <c r="F23" s="297">
        <f t="shared" si="2"/>
        <v>206.74</v>
      </c>
      <c r="G23" s="297">
        <f t="shared" si="2"/>
        <v>206.74</v>
      </c>
      <c r="H23" s="297">
        <f t="shared" si="2"/>
        <v>206.74</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8908.59</v>
      </c>
      <c r="D25" s="294">
        <f>E25*'Conversion Tables'!C24</f>
        <v>157682.04300000001</v>
      </c>
      <c r="E25" s="294">
        <f>C25*'Prac. Rec. Assumptions'!B21</f>
        <v>8908.59</v>
      </c>
      <c r="F25" s="294">
        <f>($C25*(1+'Biomass Data Assumptions'!G$107))*'Prac. Rec. Assumptions'!$B21</f>
        <v>8928.6543918918924</v>
      </c>
      <c r="G25" s="294">
        <f>($C25*(1+'Biomass Data Assumptions'!H$107))*'Prac. Rec. Assumptions'!$B21</f>
        <v>8950.5428194103188</v>
      </c>
      <c r="H25" s="294">
        <f>($C25*(1+'Biomass Data Assumptions'!I$107))*'Prac. Rec. Assumptions'!$B21</f>
        <v>8985.1994963144953</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3918.25</v>
      </c>
      <c r="D26" s="294">
        <f>E26*'Conversion Tables'!C25</f>
        <v>61124.7</v>
      </c>
      <c r="E26" s="294">
        <f>C26*'Prac. Rec. Assumptions'!B22</f>
        <v>3918.25</v>
      </c>
      <c r="F26" s="294">
        <f>($C26*(1+'Biomass Data Assumptions'!G$107))*'Prac. Rec. Assumptions'!$B22</f>
        <v>3927.0748873873877</v>
      </c>
      <c r="G26" s="294">
        <f>($C26*(1+'Biomass Data Assumptions'!H$107))*'Prac. Rec. Assumptions'!$B22</f>
        <v>3936.702037264537</v>
      </c>
      <c r="H26" s="294">
        <f>($C26*(1+'Biomass Data Assumptions'!I$107))*'Prac. Rec. Assumptions'!$B22</f>
        <v>3951.9450245700241</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9042.5133333333324</v>
      </c>
      <c r="D27" s="294">
        <f>E27*'Conversion Tables'!C26</f>
        <v>141063.20799999998</v>
      </c>
      <c r="E27" s="294">
        <f>C27*'Prac. Rec. Assumptions'!B23</f>
        <v>9042.5133333333324</v>
      </c>
      <c r="F27" s="294">
        <f>($C27*(1+'Biomass Data Assumptions'!G$107))*'Prac. Rec. Assumptions'!$B23</f>
        <v>9062.8793543543543</v>
      </c>
      <c r="G27" s="294">
        <f>($C27*(1+'Biomass Data Assumptions'!H$107))*'Prac. Rec. Assumptions'!$B23</f>
        <v>9085.0968318318301</v>
      </c>
      <c r="H27" s="294">
        <f>($C27*(1+'Biomass Data Assumptions'!I$107))*'Prac. Rec. Assumptions'!$B23</f>
        <v>9120.2745045045031</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606.72500000000002</v>
      </c>
      <c r="D28" s="294">
        <f>E28*'Conversion Tables'!C27</f>
        <v>10739.032499999999</v>
      </c>
      <c r="E28" s="294">
        <f>C28*'Prac. Rec. Assumptions'!B24</f>
        <v>606.72500000000002</v>
      </c>
      <c r="F28" s="294">
        <f>($C28*(1+'Biomass Data Assumptions'!G$107))*'Prac. Rec. Assumptions'!$B24</f>
        <v>608.09149774774778</v>
      </c>
      <c r="G28" s="294">
        <f>($C28*(1+'Biomass Data Assumptions'!H$107))*'Prac. Rec. Assumptions'!$B24</f>
        <v>609.58222256347256</v>
      </c>
      <c r="H28" s="294">
        <f>($C28*(1+'Biomass Data Assumptions'!I$107))*'Prac. Rec. Assumptions'!$B24</f>
        <v>611.94253685503679</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57969.090833333328</v>
      </c>
      <c r="D29" s="295">
        <f>SUM(D13:D28)</f>
        <v>649129.00381999998</v>
      </c>
      <c r="E29" s="295">
        <f t="shared" si="3"/>
        <v>40320.068333333336</v>
      </c>
      <c r="F29" s="295">
        <f>SUM(F13:F28)</f>
        <v>40370.690131381387</v>
      </c>
      <c r="G29" s="295">
        <f>SUM(G13:G28)</f>
        <v>40425.913911070158</v>
      </c>
      <c r="H29" s="295">
        <f>SUM(H13:H28)</f>
        <v>40513.351562244061</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15942.886596</v>
      </c>
      <c r="D32" s="294">
        <f>E32*'Conversion Tables'!C29</f>
        <v>153051.71132160001</v>
      </c>
      <c r="E32" s="294">
        <f>C32*'Prac. Rec. Assumptions'!B26</f>
        <v>9565.7319576000009</v>
      </c>
      <c r="F32" s="294">
        <f>($C32*(1+'Biomass Data Assumptions'!G$107)*(1+'Biomass Data Assumptions'!C$82))*'Prac. Rec. Assumptions'!$B26</f>
        <v>9580.7668347493673</v>
      </c>
      <c r="G32" s="294">
        <f>($C32*(1+'Biomass Data Assumptions'!H$107)*(1+'Biomass Data Assumptions'!D$82))*'Prac. Rec. Assumptions'!$B26</f>
        <v>9597.732812024291</v>
      </c>
      <c r="H32" s="294">
        <f>($C32*(1+'Biomass Data Assumptions'!I$107)*(1+'Biomass Data Assumptions'!E$82))*'Prac. Rec. Assumptions'!$B26</f>
        <v>9628.3535247045911</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58803.251129999997</v>
      </c>
      <c r="D33" s="294">
        <f>E33*'Conversion Tables'!C30</f>
        <v>683152.65032788797</v>
      </c>
      <c r="E33" s="294">
        <f>C33*'Prac. Rec. Assumptions'!B27</f>
        <v>47042.600903999999</v>
      </c>
      <c r="F33" s="294">
        <f>($C33*(1+'Biomass Data Assumptions'!G$107)*(1+'Biomass Data Assumptions'!C$82))*'Prac. Rec. Assumptions'!$B27</f>
        <v>47116.539806795248</v>
      </c>
      <c r="G33" s="294">
        <f>($C33*(1+'Biomass Data Assumptions'!H$107)*(1+'Biomass Data Assumptions'!D$82))*'Prac. Rec. Assumptions'!$B27</f>
        <v>47199.975523103014</v>
      </c>
      <c r="H33" s="294">
        <f>($C33*(1+'Biomass Data Assumptions'!I$107)*(1+'Biomass Data Assumptions'!E$82))*'Prac. Rec. Assumptions'!$B27</f>
        <v>47350.562845892353</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45231.978089999997</v>
      </c>
      <c r="D34" s="294">
        <f>E34*'Conversion Tables'!C31</f>
        <v>472938.32579254563</v>
      </c>
      <c r="E34" s="294">
        <f>C34*'Prac. Rec. Assumptions'!B28</f>
        <v>32567.024224800003</v>
      </c>
      <c r="F34" s="294">
        <f>($C34*(1+'Biomass Data Assumptions'!G$107)*(1+'Biomass Data Assumptions'!C$82))*'Prac. Rec. Assumptions'!$B28</f>
        <v>32618.211233855935</v>
      </c>
      <c r="G34" s="294">
        <f>($C34*(1+'Biomass Data Assumptions'!H$107)*(1+'Biomass Data Assumptions'!D$82))*'Prac. Rec. Assumptions'!$B28</f>
        <v>32675.972772163601</v>
      </c>
      <c r="H34" s="294">
        <f>($C34*(1+'Biomass Data Assumptions'!I$107)*(1+'Biomass Data Assumptions'!E$82))*'Prac. Rec. Assumptions'!$B28</f>
        <v>32780.222556295143</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50443.353600000009</v>
      </c>
      <c r="D35" s="294">
        <f>E35*'Conversion Tables'!C32</f>
        <v>571422.30958080012</v>
      </c>
      <c r="E35" s="294">
        <f>C35*'Prac. Rec. Assumptions'!B29</f>
        <v>32283.746304000011</v>
      </c>
      <c r="F35" s="294">
        <f>($C35*(1+'Biomass Data Assumptions'!G$107)*(1+'Biomass Data Assumptions'!C$83))*'Prac. Rec. Assumptions'!$B29</f>
        <v>33981.110544777439</v>
      </c>
      <c r="G35" s="294">
        <f>($C35*(1+'Biomass Data Assumptions'!H$107)*(1+'Biomass Data Assumptions'!D$83))*'Prac. Rec. Assumptions'!$B29</f>
        <v>35774.82609128199</v>
      </c>
      <c r="H35" s="294">
        <f>($C35*(1+'Biomass Data Assumptions'!I$107)*(1+'Biomass Data Assumptions'!E$83))*'Prac. Rec. Assumptions'!$B29</f>
        <v>37716.595327120493</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3070.645</v>
      </c>
      <c r="D37" s="294">
        <f>E37*'Conversion Tables'!C34</f>
        <v>49130.32</v>
      </c>
      <c r="E37" s="294">
        <f>C37*'Prac. Rec. Assumptions'!B31</f>
        <v>3070.645</v>
      </c>
      <c r="F37" s="294">
        <f>($C37*(1+'Biomass Data Assumptions'!G$107)*(1+'Biomass Data Assumptions'!C$84))*'Prac. Rec. Assumptions'!$B31</f>
        <v>3365.2395166535616</v>
      </c>
      <c r="G37" s="294">
        <f>($C37*(1+'Biomass Data Assumptions'!H$107)*(1+'Biomass Data Assumptions'!D$84))*'Prac. Rec. Assumptions'!$B31</f>
        <v>3688.8302517941752</v>
      </c>
      <c r="H37" s="294">
        <f>($C37*(1+'Biomass Data Assumptions'!I$107)*(1+'Biomass Data Assumptions'!E$84))*'Prac. Rec. Assumptions'!$B31</f>
        <v>4049.2663956232755</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3144.28</v>
      </c>
      <c r="D38" s="294">
        <f>E38*'Conversion Tables'!C35</f>
        <v>27826.878000000001</v>
      </c>
      <c r="E38" s="294">
        <f>C38*'Prac. Rec. Assumptions'!B32</f>
        <v>1572.14</v>
      </c>
      <c r="F38" s="294">
        <f>($C38*(1+'Biomass Data Assumptions'!G$107)*(1+'Biomass Data Assumptions'!C$84))*'Prac. Rec. Assumptions'!$B32</f>
        <v>1722.9694913321894</v>
      </c>
      <c r="G38" s="294">
        <f>($C38*(1+'Biomass Data Assumptions'!H$107)*(1+'Biomass Data Assumptions'!D$84))*'Prac. Rec. Assumptions'!$B32</f>
        <v>1888.6447609722698</v>
      </c>
      <c r="H38" s="294">
        <f>($C38*(1+'Biomass Data Assumptions'!I$107)*(1+'Biomass Data Assumptions'!E$84))*'Prac. Rec. Assumptions'!$B32</f>
        <v>2073.1845170038141</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56671.298999999999</v>
      </c>
      <c r="D39" s="299">
        <f>E39*'Conversion Tables'!C36</f>
        <v>0</v>
      </c>
      <c r="E39" s="299">
        <f>C39*'Prac. Rec. Assumptions'!B33</f>
        <v>0</v>
      </c>
      <c r="F39" s="294">
        <f>($C39*(1+'Biomass Data Assumptions'!G$107)*(1+'Biomass Data Assumptions'!C$84))*'Prac. Rec. Assumptions'!$B33</f>
        <v>0</v>
      </c>
      <c r="G39" s="294">
        <f>($C39*(1+'Biomass Data Assumptions'!H$107)*(1+'Biomass Data Assumptions'!D$84))*'Prac. Rec. Assumptions'!$B33</f>
        <v>0</v>
      </c>
      <c r="H39" s="294">
        <f>($C39*(1+'Biomass Data Assumptions'!I$107)*(1+'Biomass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13529.133000000002</v>
      </c>
      <c r="D40" s="299">
        <f>E40*'Conversion Tables'!C37</f>
        <v>0</v>
      </c>
      <c r="E40" s="299">
        <f>C40*'Prac. Rec. Assumptions'!B34</f>
        <v>0</v>
      </c>
      <c r="F40" s="294">
        <f>($C40*(1+'Biomass Data Assumptions'!G$107)*(1+'Biomass Data Assumptions'!C$84))*'Prac. Rec. Assumptions'!$B34</f>
        <v>0</v>
      </c>
      <c r="G40" s="294">
        <f>($C40*(1+'Biomass Data Assumptions'!H$107)*(1+'Biomass Data Assumptions'!D$84))*'Prac. Rec. Assumptions'!$B34</f>
        <v>0</v>
      </c>
      <c r="H40" s="294">
        <f>($C40*(1+'Biomass Data Assumptions'!I$107)*(1+'Biomass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19031.102999999999</v>
      </c>
      <c r="D41" s="299">
        <f>E41*'Conversion Tables'!C38</f>
        <v>0</v>
      </c>
      <c r="E41" s="299">
        <f>C41*'Prac. Rec. Assumptions'!B35</f>
        <v>0</v>
      </c>
      <c r="F41" s="294">
        <f>($C41*(1+'Biomass Data Assumptions'!G$107)*(1+'Biomass Data Assumptions'!C$84))*'Prac. Rec. Assumptions'!$B35</f>
        <v>0</v>
      </c>
      <c r="G41" s="294">
        <f>($C41*(1+'Biomass Data Assumptions'!H$107)*(1+'Biomass Data Assumptions'!D$84))*'Prac. Rec. Assumptions'!$B35</f>
        <v>0</v>
      </c>
      <c r="H41" s="294">
        <f>($C41*(1+'Biomass Data Assumptions'!I$107)*(1+'Biomass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8602.2810000000009</v>
      </c>
      <c r="D42" s="299">
        <f>E42*'Conversion Tables'!C39</f>
        <v>124922.32468200002</v>
      </c>
      <c r="E42" s="299">
        <f>C42*'Prac. Rec. Assumptions'!B36</f>
        <v>8602.2810000000009</v>
      </c>
      <c r="F42" s="294">
        <f>($C42*(1+'Biomass Data Assumptions'!G$107)*(1+'Biomass Data Assumptions'!C$84))*'Prac. Rec. Assumptions'!$B36</f>
        <v>9427.5749735179816</v>
      </c>
      <c r="G42" s="294">
        <f>($C42*(1+'Biomass Data Assumptions'!H$107)*(1+'Biomass Data Assumptions'!D$84))*'Prac. Rec. Assumptions'!$B36</f>
        <v>10334.10061639631</v>
      </c>
      <c r="H42" s="294">
        <f>($C42*(1+'Biomass Data Assumptions'!I$107)*(1+'Biomass Data Assumptions'!E$84))*'Prac. Rec. Assumptions'!$B36</f>
        <v>11343.847100204872</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274470.21041599999</v>
      </c>
      <c r="D43" s="295">
        <f t="shared" si="4"/>
        <v>2082444.5197048339</v>
      </c>
      <c r="E43" s="295">
        <f t="shared" si="4"/>
        <v>134704.16939040003</v>
      </c>
      <c r="F43" s="295">
        <f t="shared" si="4"/>
        <v>137812.41240168171</v>
      </c>
      <c r="G43" s="295">
        <f t="shared" si="4"/>
        <v>141160.08282773563</v>
      </c>
      <c r="H43" s="295">
        <f t="shared" si="4"/>
        <v>144942.03226684456</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0</v>
      </c>
      <c r="D46" s="294">
        <f>E46*'Conversion Tables'!C41</f>
        <v>0</v>
      </c>
      <c r="E46" s="294">
        <f>C46*'Prac. Rec. Assumptions'!B38</f>
        <v>0</v>
      </c>
      <c r="F46" s="294">
        <f>$E46</f>
        <v>0</v>
      </c>
      <c r="G46" s="294">
        <f>$E46</f>
        <v>0</v>
      </c>
      <c r="H46" s="294">
        <f>$E46</f>
        <v>0</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1874.5852400000003</v>
      </c>
      <c r="D47" s="294"/>
      <c r="E47" s="294">
        <f>C47*'Prac. Rec. Assumptions'!B39</f>
        <v>937.29262000000017</v>
      </c>
      <c r="F47" s="294">
        <f>($C47*(1+'Biomass Data Assumptions'!G$107))*'Prac. Rec. Assumptions'!$B39</f>
        <v>939.40363941441467</v>
      </c>
      <c r="G47" s="294">
        <f>($C47*(1+'Biomass Data Assumptions'!H$107))*'Prac. Rec. Assumptions'!$B39</f>
        <v>941.70656968468484</v>
      </c>
      <c r="H47" s="294">
        <f>($C47*(1+'Biomass Data Assumptions'!I$107))*'Prac. Rec. Assumptions'!$B39</f>
        <v>945.35287594594604</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167.53479049999999</v>
      </c>
      <c r="D48" s="294"/>
      <c r="E48" s="294">
        <f>C48*'Prac. Rec. Assumptions'!B40</f>
        <v>167.53479049999999</v>
      </c>
      <c r="F48" s="294">
        <f>($C48*(1+'Biomass Data Assumptions'!G$107))*'Prac. Rec. Assumptions'!$B40</f>
        <v>167.91212110923422</v>
      </c>
      <c r="G48" s="294">
        <f>($C48*(1+'Biomass Data Assumptions'!H$107))*'Prac. Rec. Assumptions'!$B40</f>
        <v>168.3237545011261</v>
      </c>
      <c r="H48" s="294">
        <f>($C48*(1+'Biomass Data Assumptions'!I$107))*'Prac. Rec. Assumptions'!$B40</f>
        <v>168.9755073716216</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2042.1200305000002</v>
      </c>
      <c r="D49" s="295">
        <f>SUM(D45:D48)</f>
        <v>0</v>
      </c>
      <c r="E49" s="295">
        <f t="shared" si="6"/>
        <v>1104.8274105</v>
      </c>
      <c r="F49" s="295">
        <f>SUM(F45:F48)</f>
        <v>1107.3157605236488</v>
      </c>
      <c r="G49" s="295">
        <f>SUM(G45:G48)</f>
        <v>1110.030324185811</v>
      </c>
      <c r="H49" s="295">
        <f>SUM(H45:H48)</f>
        <v>1114.3283833175676</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20.393280000000001</v>
      </c>
      <c r="D52" s="299">
        <f>E52*'Conversion Tables'!C45</f>
        <v>60.217277184000004</v>
      </c>
      <c r="E52" s="299">
        <f>C52*'Prac. Rec. Assumptions'!B42</f>
        <v>4.0786560000000005</v>
      </c>
      <c r="F52" s="294">
        <f t="shared" ref="F52:H59" si="7">$E52</f>
        <v>4.0786560000000005</v>
      </c>
      <c r="G52" s="294">
        <f t="shared" si="7"/>
        <v>4.0786560000000005</v>
      </c>
      <c r="H52" s="294">
        <f t="shared" si="7"/>
        <v>4.0786560000000005</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48.73845</v>
      </c>
      <c r="D53" s="299">
        <f>E53*'Conversion Tables'!C46</f>
        <v>431.74468547999999</v>
      </c>
      <c r="E53" s="299">
        <f>C53*'Prac. Rec. Assumptions'!B43</f>
        <v>29.243069999999999</v>
      </c>
      <c r="F53" s="294">
        <f t="shared" si="7"/>
        <v>29.243069999999999</v>
      </c>
      <c r="G53" s="294">
        <f t="shared" si="7"/>
        <v>29.243069999999999</v>
      </c>
      <c r="H53" s="294">
        <f t="shared" si="7"/>
        <v>29.243069999999999</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1471.6608375000001</v>
      </c>
      <c r="D54" s="299">
        <f>E54*'Conversion Tables'!C47</f>
        <v>13036.560362910001</v>
      </c>
      <c r="E54" s="299">
        <f>C54*'Prac. Rec. Assumptions'!B44</f>
        <v>882.99650250000002</v>
      </c>
      <c r="F54" s="294">
        <f t="shared" si="7"/>
        <v>882.99650250000002</v>
      </c>
      <c r="G54" s="294">
        <f t="shared" si="7"/>
        <v>882.99650250000002</v>
      </c>
      <c r="H54" s="294">
        <f t="shared" si="7"/>
        <v>882.99650250000002</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11.178125</v>
      </c>
      <c r="D55" s="299">
        <f>E55*'Conversion Tables'!C48</f>
        <v>33.006767500000002</v>
      </c>
      <c r="E55" s="299">
        <f>C55*'Prac. Rec. Assumptions'!B45</f>
        <v>2.2356250000000002</v>
      </c>
      <c r="F55" s="294">
        <f t="shared" si="7"/>
        <v>2.2356250000000002</v>
      </c>
      <c r="G55" s="294">
        <f t="shared" si="7"/>
        <v>2.2356250000000002</v>
      </c>
      <c r="H55" s="294">
        <f t="shared" si="7"/>
        <v>2.2356250000000002</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24.555375000000002</v>
      </c>
      <c r="D56" s="299">
        <f>E56*'Conversion Tables'!C49</f>
        <v>72.507111300000005</v>
      </c>
      <c r="E56" s="299">
        <f>C56*'Prac. Rec. Assumptions'!B46</f>
        <v>4.9110750000000003</v>
      </c>
      <c r="F56" s="294">
        <f t="shared" si="7"/>
        <v>4.9110750000000003</v>
      </c>
      <c r="G56" s="294">
        <f t="shared" si="7"/>
        <v>4.9110750000000003</v>
      </c>
      <c r="H56" s="294">
        <f t="shared" si="7"/>
        <v>4.9110750000000003</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7.2908749999999998</v>
      </c>
      <c r="D57" s="299">
        <f>E57*'Conversion Tables'!C50</f>
        <v>53.821239249999998</v>
      </c>
      <c r="E57" s="299">
        <f>C57*'Prac. Rec. Assumptions'!B47</f>
        <v>3.6454374999999999</v>
      </c>
      <c r="F57" s="294">
        <f t="shared" si="7"/>
        <v>3.6454374999999999</v>
      </c>
      <c r="G57" s="294">
        <f t="shared" si="7"/>
        <v>3.6454374999999999</v>
      </c>
      <c r="H57" s="294">
        <f t="shared" si="7"/>
        <v>3.6454374999999999</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8.8968749999999996</v>
      </c>
      <c r="D58" s="299">
        <f>E58*'Conversion Tables'!C51</f>
        <v>106.76249999999999</v>
      </c>
      <c r="E58" s="299">
        <f>C58*'Prac. Rec. Assumptions'!B48</f>
        <v>8.8968749999999996</v>
      </c>
      <c r="F58" s="294">
        <f t="shared" si="7"/>
        <v>8.8968749999999996</v>
      </c>
      <c r="G58" s="294">
        <f t="shared" si="7"/>
        <v>8.8968749999999996</v>
      </c>
      <c r="H58" s="294">
        <f t="shared" si="7"/>
        <v>8.8968749999999996</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2.5253437500000002</v>
      </c>
      <c r="D59" s="299">
        <f>E59*'Conversion Tables'!C52</f>
        <v>37.284175125000004</v>
      </c>
      <c r="E59" s="299">
        <f>C59*'Prac. Rec. Assumptions'!B49</f>
        <v>2.5253437500000002</v>
      </c>
      <c r="F59" s="294">
        <f t="shared" si="7"/>
        <v>2.5253437500000002</v>
      </c>
      <c r="G59" s="294">
        <f t="shared" si="7"/>
        <v>2.5253437500000002</v>
      </c>
      <c r="H59" s="294">
        <f t="shared" si="7"/>
        <v>2.5253437500000002</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Assumptions'!AE22</f>
        <v>1749.1455079999998</v>
      </c>
      <c r="D60" s="299">
        <f>E60*'Conversion Tables'!C53</f>
        <v>20989.746095999999</v>
      </c>
      <c r="E60" s="299">
        <f>C60*'Prac. Rec. Assumptions'!B50</f>
        <v>1749.1455079999998</v>
      </c>
      <c r="F60" s="294">
        <f>($C60*(1+'Biomass Data Assumptions'!G$107*(4/5)))*'Prac. Rec. Assumptions'!$B50</f>
        <v>1752.2971215279276</v>
      </c>
      <c r="G60" s="294">
        <f>($C60*(1+'Biomass Data Assumptions'!H$107*(9/10)))*'Prac. Rec. Assumptions'!$B50</f>
        <v>1756.5589625486484</v>
      </c>
      <c r="H60" s="294">
        <f>($C60*(1+'Biomass Data Assumptions'!I$107*(14/15)))*'Prac. Rec. Assumptions'!$B50</f>
        <v>1763.1845137153152</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3344.3846692499997</v>
      </c>
      <c r="D61" s="295">
        <f>SUM(D52:D60)</f>
        <v>34821.650214748995</v>
      </c>
      <c r="E61" s="295">
        <f t="shared" ref="E61:P61" si="8">SUM(E52:E60)</f>
        <v>2687.6780927499999</v>
      </c>
      <c r="F61" s="295">
        <f>SUM(F52:F60)</f>
        <v>2690.8297062779275</v>
      </c>
      <c r="G61" s="295">
        <f>SUM(G52:G60)</f>
        <v>2695.0915472986485</v>
      </c>
      <c r="H61" s="295">
        <f>SUM(H52:H60)</f>
        <v>2701.7170984653153</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Assumptions'!AB22</f>
        <v>28.294613850000001</v>
      </c>
      <c r="D63" s="300">
        <f>E63*'Conversion Tables'!C55</f>
        <v>17514.365973150001</v>
      </c>
      <c r="E63" s="299">
        <f>C63*'Prac. Rec. Assumptions'!B51</f>
        <v>28.294613850000001</v>
      </c>
      <c r="F63" s="294">
        <f>($C63*(1+'Biomass Data Assumptions'!G$107*(4/5)))*'Prac. Rec. Assumptions'!$B51</f>
        <v>28.345595136216218</v>
      </c>
      <c r="G63" s="294">
        <f>($C63*(1+'Biomass Data Assumptions'!H$107*(9/10)))*'Prac. Rec. Assumptions'!$B51</f>
        <v>28.41453573916769</v>
      </c>
      <c r="H63" s="294">
        <f>($C63*(1+'Biomass Data Assumptions'!I$107*(14/15)))*'Prac. Rec. Assumptions'!$B51</f>
        <v>28.521712306781332</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Assumptions'!X22</f>
        <v>0</v>
      </c>
      <c r="D64" s="300">
        <f>E64*'Conversion Tables'!C56</f>
        <v>0</v>
      </c>
      <c r="E64" s="299">
        <f>C64*'Prac. Rec. Assumptions'!B52</f>
        <v>0</v>
      </c>
      <c r="F64" s="545">
        <f>($C64*(1+'Biomass Data Assumptions'!G$107*(3/5))*(1+('Biomass Data Assumptions'!C$82-((1+'Biomass Data Assumptions'!$B$82)^2 - 1))))*'Prac. Rec. Assumptions'!$B52</f>
        <v>0</v>
      </c>
      <c r="G64" s="545">
        <f>($C64*(1+'Biomass Data Assumptions'!H$107*(4/5))*(1+('Biomass Data Assumptions'!D$82-((1+'Biomass Data Assumptions'!$B$82)^2 - 1))))*'Prac. Rec. Assumptions'!$B52</f>
        <v>0</v>
      </c>
      <c r="H64" s="545">
        <f>($C64*(1+'Biomass Data Assumptions'!I$107*(13/15))*(1+('Biomass Data Assumptions'!E$82-((1+'Biomass Data Assumptions'!$B$82)^2 - 1))))*'Prac. Rec. Assumptions'!$B52</f>
        <v>0</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28.294613850000001</v>
      </c>
      <c r="D65" s="295">
        <f>SUM(D63:D64)</f>
        <v>17514.365973150001</v>
      </c>
      <c r="E65" s="295">
        <f t="shared" ref="E65:P65" si="9">SUM(E63:E64)</f>
        <v>28.294613850000001</v>
      </c>
      <c r="F65" s="295">
        <f>SUM(F63:F64)</f>
        <v>28.345595136216218</v>
      </c>
      <c r="G65" s="295">
        <f>SUM(G63:G64)</f>
        <v>28.41453573916769</v>
      </c>
      <c r="H65" s="295">
        <f>SUM(H63:H64)</f>
        <v>28.521712306781332</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4303.9418303385155</v>
      </c>
      <c r="D67" s="295">
        <f t="shared" ref="D67" si="10">D61+D65</f>
        <v>52336.016187898997</v>
      </c>
      <c r="E67" s="295">
        <f>E61+(E63*1000000/29487.1582406855)+(E64*1000000/25364.5039539246)</f>
        <v>3647.2352538385153</v>
      </c>
      <c r="F67" s="295">
        <f t="shared" ref="F67:H67" si="11">F61+(F63*1000000/29487.1582406855)+(F64*1000000/25364.5039539246)</f>
        <v>3652.1157991882242</v>
      </c>
      <c r="G67" s="295">
        <f t="shared" si="11"/>
        <v>3658.7156275588536</v>
      </c>
      <c r="H67" s="295">
        <f t="shared" si="11"/>
        <v>3668.9758649417649</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338788.86311017181</v>
      </c>
      <c r="D68" s="132"/>
      <c r="E68" s="132">
        <f>E11+E29+E43+E49+E67</f>
        <v>179776.30038807186</v>
      </c>
      <c r="F68" s="132">
        <f>F11+F29+F43+F49+F67</f>
        <v>182942.53409277499</v>
      </c>
      <c r="G68" s="132">
        <f>G11+G29+G43+G49+G67</f>
        <v>186354.74269055045</v>
      </c>
      <c r="H68" s="132">
        <f>H11+H29+H43+H49+H67</f>
        <v>190238.68807734796</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0</v>
      </c>
      <c r="C74" s="40">
        <f>'Biomass Data Assumptions'!B38*B74</f>
        <v>0</v>
      </c>
      <c r="D74" s="40">
        <f>(C74*'Biomass Data Assumptions'!C38)/2000</f>
        <v>0</v>
      </c>
      <c r="E74" s="41"/>
      <c r="F74" s="41"/>
      <c r="G74" s="41"/>
      <c r="H74" s="36"/>
      <c r="I74" s="36"/>
      <c r="J74" s="36"/>
      <c r="K74" s="36"/>
      <c r="L74" s="36"/>
      <c r="M74" s="36"/>
      <c r="N74" s="36"/>
      <c r="O74" s="36"/>
      <c r="P74" s="36"/>
      <c r="Q74" s="36"/>
      <c r="R74" s="36"/>
    </row>
    <row r="75" spans="1:19" x14ac:dyDescent="0.25">
      <c r="A75" s="39" t="s">
        <v>520</v>
      </c>
      <c r="B75" s="21">
        <v>0</v>
      </c>
      <c r="C75" s="40">
        <f>'Biomass Data Assumptions'!B39*B75</f>
        <v>0</v>
      </c>
      <c r="D75" s="40">
        <f>(C75*'Biomass Data Assumptions'!C39)/2000</f>
        <v>0</v>
      </c>
      <c r="E75" s="41"/>
      <c r="F75" s="41"/>
      <c r="G75" s="41"/>
      <c r="H75" s="36"/>
      <c r="I75" s="36"/>
      <c r="J75" s="36"/>
      <c r="K75" s="36"/>
      <c r="L75" s="36"/>
      <c r="M75" s="36"/>
      <c r="N75" s="36"/>
      <c r="O75" s="36"/>
      <c r="P75" s="36"/>
      <c r="Q75" s="36"/>
      <c r="R75" s="36"/>
    </row>
    <row r="76" spans="1:19" x14ac:dyDescent="0.25">
      <c r="A76" s="39" t="s">
        <v>521</v>
      </c>
      <c r="B76" s="21">
        <v>1</v>
      </c>
      <c r="C76" s="40">
        <f>'Biomass Data Assumptions'!B40*B76</f>
        <v>125</v>
      </c>
      <c r="D76" s="40">
        <f>(C76*'Biomass Data Assumptions'!C40)/2000</f>
        <v>3.5</v>
      </c>
      <c r="E76" s="41"/>
      <c r="F76" s="41"/>
      <c r="G76" s="41"/>
      <c r="H76" s="36"/>
      <c r="I76" s="36"/>
      <c r="J76" s="36"/>
      <c r="K76" s="36"/>
      <c r="L76" s="36"/>
      <c r="M76" s="36"/>
      <c r="N76" s="36"/>
      <c r="O76" s="36"/>
      <c r="P76" s="36"/>
      <c r="Q76" s="36"/>
      <c r="R76" s="36"/>
    </row>
    <row r="77" spans="1:19" x14ac:dyDescent="0.25">
      <c r="A77" s="39" t="s">
        <v>525</v>
      </c>
      <c r="B77" s="21">
        <v>0</v>
      </c>
      <c r="C77" s="40">
        <f>'Biomass Data Assumptions'!B41*B77</f>
        <v>0</v>
      </c>
      <c r="D77" s="40">
        <f>(C77*'Biomass Data Assumptions'!C41)/2000</f>
        <v>0</v>
      </c>
      <c r="E77" s="41"/>
      <c r="F77" s="41"/>
      <c r="G77" s="41"/>
      <c r="H77" s="36"/>
      <c r="I77" s="36"/>
      <c r="J77" s="36"/>
      <c r="K77" s="36"/>
      <c r="L77" s="36"/>
      <c r="M77" s="36"/>
      <c r="N77" s="36"/>
      <c r="O77" s="36"/>
      <c r="P77" s="36"/>
      <c r="Q77" s="36"/>
      <c r="R77" s="36"/>
    </row>
    <row r="78" spans="1:19" x14ac:dyDescent="0.25">
      <c r="A78" s="39" t="s">
        <v>522</v>
      </c>
      <c r="B78" s="21">
        <v>0</v>
      </c>
      <c r="C78" s="40">
        <f>'Biomass Data Assumptions'!B42*B78</f>
        <v>0</v>
      </c>
      <c r="D78" s="40">
        <f>(C78*'Biomass Data Assumptions'!C42)/2000</f>
        <v>0</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18</v>
      </c>
      <c r="C81" s="40">
        <f>'Biomass Data Assumptions'!B49*B81</f>
        <v>18</v>
      </c>
      <c r="D81" s="40">
        <f>C81*'Energy Content Assumptions'!C11</f>
        <v>15.299999999999999</v>
      </c>
      <c r="E81" s="41"/>
      <c r="F81" s="41"/>
      <c r="G81" s="41"/>
      <c r="H81" s="36"/>
      <c r="I81" s="36"/>
      <c r="J81" s="36"/>
      <c r="K81" s="36"/>
      <c r="L81" s="36"/>
      <c r="M81" s="36"/>
      <c r="N81" s="36"/>
      <c r="O81" s="36"/>
      <c r="P81" s="36"/>
      <c r="Q81" s="36"/>
      <c r="R81" s="36"/>
    </row>
    <row r="82" spans="1:18" x14ac:dyDescent="0.25">
      <c r="A82" s="39" t="s">
        <v>520</v>
      </c>
      <c r="B82" s="21">
        <v>1</v>
      </c>
      <c r="C82" s="40">
        <f>'Biomass Data Assumptions'!B50*B82</f>
        <v>2.25</v>
      </c>
      <c r="D82" s="40">
        <f>C82*'Energy Content Assumptions'!C12</f>
        <v>1.9124999999999999</v>
      </c>
      <c r="E82" s="41"/>
      <c r="F82" s="41"/>
      <c r="G82" s="41"/>
      <c r="H82" s="36"/>
      <c r="I82" s="36"/>
      <c r="J82" s="36"/>
      <c r="K82" s="36"/>
      <c r="L82" s="36"/>
      <c r="M82" s="36"/>
      <c r="N82" s="36"/>
      <c r="O82" s="36"/>
      <c r="P82" s="36"/>
      <c r="Q82" s="36"/>
      <c r="R82" s="36"/>
    </row>
    <row r="83" spans="1:18" x14ac:dyDescent="0.25">
      <c r="A83" s="39" t="s">
        <v>521</v>
      </c>
      <c r="B83" s="21">
        <v>0</v>
      </c>
      <c r="C83" s="40">
        <f>'Biomass Data Assumptions'!B51*B83</f>
        <v>0</v>
      </c>
      <c r="D83" s="40">
        <f>C83*'Energy Content Assumptions'!C13</f>
        <v>0</v>
      </c>
      <c r="E83" s="41"/>
      <c r="F83" s="41"/>
      <c r="G83" s="41"/>
      <c r="H83" s="36"/>
      <c r="I83" s="36"/>
      <c r="J83" s="36"/>
      <c r="K83" s="36"/>
      <c r="L83" s="36"/>
      <c r="M83" s="36"/>
      <c r="N83" s="36"/>
      <c r="O83" s="36"/>
      <c r="P83" s="36"/>
      <c r="Q83" s="36"/>
      <c r="R83" s="36"/>
    </row>
    <row r="84" spans="1:18" x14ac:dyDescent="0.25">
      <c r="A84" s="39" t="s">
        <v>528</v>
      </c>
      <c r="B84" s="21">
        <v>0</v>
      </c>
      <c r="C84" s="40">
        <f>'Biomass Data Assumptions'!B52*B84</f>
        <v>0</v>
      </c>
      <c r="D84" s="40">
        <f>C84*'Energy Content Assumptions'!C14</f>
        <v>0</v>
      </c>
      <c r="E84" s="41"/>
      <c r="F84" s="41"/>
      <c r="G84" s="41"/>
      <c r="H84" s="36"/>
      <c r="I84" s="36"/>
      <c r="J84" s="36"/>
      <c r="K84" s="36"/>
      <c r="L84" s="36"/>
      <c r="M84" s="36"/>
      <c r="N84" s="36"/>
      <c r="O84" s="36"/>
      <c r="P84" s="36"/>
      <c r="Q84" s="36"/>
      <c r="R84" s="36"/>
    </row>
    <row r="85" spans="1:18" x14ac:dyDescent="0.25">
      <c r="A85" s="39" t="s">
        <v>529</v>
      </c>
      <c r="B85" s="21">
        <v>7</v>
      </c>
      <c r="C85" s="40">
        <f>'Biomass Data Assumptions'!B53*B85</f>
        <v>22.400000000000002</v>
      </c>
      <c r="D85" s="40">
        <f>C85*'Energy Content Assumptions'!C15</f>
        <v>19.040000000000003</v>
      </c>
      <c r="E85" s="41"/>
      <c r="F85" s="41"/>
      <c r="G85" s="41"/>
      <c r="H85" s="36"/>
      <c r="I85" s="36"/>
      <c r="J85" s="36"/>
      <c r="K85" s="36"/>
      <c r="L85" s="36"/>
      <c r="M85" s="36"/>
      <c r="N85" s="36"/>
      <c r="O85" s="36"/>
      <c r="P85" s="36"/>
      <c r="Q85" s="36"/>
      <c r="R85" s="36"/>
    </row>
    <row r="86" spans="1:18" x14ac:dyDescent="0.25">
      <c r="A86" s="39" t="s">
        <v>530</v>
      </c>
      <c r="B86" s="21">
        <v>36</v>
      </c>
      <c r="C86" s="40">
        <f>'Biomass Data Assumptions'!B54*B86</f>
        <v>61.199999999999996</v>
      </c>
      <c r="D86" s="40">
        <f>C86*'Energy Content Assumptions'!C16</f>
        <v>52.019999999999996</v>
      </c>
      <c r="E86" s="41"/>
      <c r="F86" s="41"/>
      <c r="G86" s="41"/>
      <c r="H86" s="36"/>
      <c r="I86" s="36"/>
      <c r="J86" s="36"/>
      <c r="K86" s="36"/>
      <c r="L86" s="36"/>
      <c r="M86" s="36"/>
      <c r="N86" s="36"/>
      <c r="O86" s="36"/>
      <c r="P86" s="36"/>
      <c r="Q86" s="36"/>
      <c r="R86" s="36"/>
    </row>
    <row r="87" spans="1:18" x14ac:dyDescent="0.25">
      <c r="A87" s="39" t="s">
        <v>522</v>
      </c>
      <c r="B87" s="21">
        <v>0</v>
      </c>
      <c r="C87" s="40">
        <f>'Biomass Data Assumptions'!B55*B87</f>
        <v>0</v>
      </c>
      <c r="D87" s="40">
        <f>C87*'Energy Content Assumptions'!C17</f>
        <v>0</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533</v>
      </c>
      <c r="D92" s="38" t="s">
        <v>534</v>
      </c>
      <c r="E92" s="38" t="s">
        <v>568</v>
      </c>
      <c r="F92" s="38" t="s">
        <v>569</v>
      </c>
      <c r="G92" s="38" t="s">
        <v>554</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t="0.75" customHeight="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x14ac:dyDescent="0.25">
      <c r="A96" s="45"/>
      <c r="B96" s="458"/>
      <c r="C96" s="41"/>
      <c r="D96" s="41"/>
      <c r="E96" s="41"/>
      <c r="F96" s="41"/>
      <c r="G96" s="41"/>
      <c r="H96" s="36"/>
      <c r="I96" s="36"/>
      <c r="J96" s="41"/>
      <c r="K96" s="41"/>
      <c r="L96" s="41"/>
      <c r="M96" s="41"/>
      <c r="N96" s="36"/>
      <c r="O96" s="36"/>
      <c r="P96" s="36"/>
      <c r="Q96" s="36"/>
      <c r="R96" s="36"/>
    </row>
    <row r="97" spans="1:18" x14ac:dyDescent="0.25">
      <c r="A97" s="467" t="s">
        <v>535</v>
      </c>
      <c r="B97" s="85">
        <v>18</v>
      </c>
      <c r="C97" s="41">
        <f>ROUND('Biomass Data Assumptions'!$B$60/1000*B97,0)</f>
        <v>18</v>
      </c>
      <c r="D97" s="41">
        <f>'Biomass Data Assumptions'!$C$60*C97</f>
        <v>604440</v>
      </c>
      <c r="E97" s="41">
        <f>('Biomass Data Assumptions'!$D$60*'Energy Content Assumptions'!$C$44*D97)/2000</f>
        <v>7.2532800000000002</v>
      </c>
      <c r="F97" s="41">
        <f>('Biomass Data Assumptions'!$E$60*B97*365)/2000</f>
        <v>13.14</v>
      </c>
      <c r="G97" s="41">
        <f>F97+E97</f>
        <v>20.393280000000001</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4</v>
      </c>
      <c r="C100" s="41">
        <f>ROUND('Biomass Data Assumptions'!B62/1000*B100,0)</f>
        <v>1</v>
      </c>
      <c r="D100" s="41">
        <f>'Biomass Data Assumptions'!C62*C100</f>
        <v>29200</v>
      </c>
      <c r="E100" s="41">
        <f>('Biomass Data Assumptions'!D62*'Energy Content Assumptions'!C46*D100)/2000</f>
        <v>1.3140000000000001</v>
      </c>
      <c r="F100" s="41">
        <f>('Biomass Data Assumptions'!E62*B100*365)/2000</f>
        <v>3.65</v>
      </c>
      <c r="G100" s="41">
        <f>F100+E100</f>
        <v>4.9640000000000004</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10</v>
      </c>
      <c r="C102" s="41">
        <f>ROUND('Biomass Data Assumptions'!B64/1000*B102,0)</f>
        <v>14</v>
      </c>
      <c r="D102" s="41">
        <f>'Biomass Data Assumptions'!C64*C102</f>
        <v>567210</v>
      </c>
      <c r="E102" s="41">
        <f>('Biomass Data Assumptions'!D64*'Energy Content Assumptions'!C48*D102)/2000</f>
        <v>25.524450000000002</v>
      </c>
      <c r="F102" s="41">
        <f>'Biomass Data Assumptions'!E64*B102*365/2000</f>
        <v>18.25</v>
      </c>
      <c r="G102" s="41">
        <f>F102+E102</f>
        <v>43.774450000000002</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v>14</v>
      </c>
      <c r="C104" s="41">
        <f>SUM(C100:C103)</f>
        <v>15</v>
      </c>
      <c r="D104" s="41">
        <f>SUM(D100:D103)</f>
        <v>596410</v>
      </c>
      <c r="E104" s="41">
        <f>SUM(E100:E103)</f>
        <v>26.838450000000002</v>
      </c>
      <c r="F104" s="41">
        <f>SUM(F100:F103)</f>
        <v>21.9</v>
      </c>
      <c r="G104" s="41">
        <f>SUM(G100:G103)</f>
        <v>48.73845</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427</v>
      </c>
      <c r="C106" s="41">
        <f>ROUND('Biomass Data Assumptions'!B66/1000*B106,0)</f>
        <v>427</v>
      </c>
      <c r="D106" s="41">
        <f>'Biomass Data Assumptions'!C66*C106</f>
        <v>8649952.5</v>
      </c>
      <c r="E106" s="41">
        <f>('Biomass Data Assumptions'!D66*'Energy Content Assumptions'!C50*D106)/2000</f>
        <v>302.74833750000005</v>
      </c>
      <c r="F106" s="41">
        <f>'Biomass Data Assumptions'!E66*B106*365/2000</f>
        <v>1168.9124999999999</v>
      </c>
      <c r="G106" s="41">
        <f>F106+E106</f>
        <v>1471.6608375000001</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51</v>
      </c>
      <c r="C108" s="41">
        <f>ROUND('Biomass Data Assumptions'!B67/1000*B108,0)</f>
        <v>5</v>
      </c>
      <c r="D108" s="41">
        <f>'Biomass Data Assumptions'!C67*C108</f>
        <v>74825</v>
      </c>
      <c r="E108" s="41">
        <f>('Biomass Data Assumptions'!D67*'Energy Content Assumptions'!C51*D108)/2000</f>
        <v>1.870625</v>
      </c>
      <c r="F108" s="41">
        <f>'Biomass Data Assumptions'!E67*B108*365/2000</f>
        <v>9.3074999999999992</v>
      </c>
      <c r="G108" s="41">
        <f>F108+E108</f>
        <v>11.178125</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112</v>
      </c>
      <c r="C110" s="41">
        <f>ROUND('Biomass Data Assumptions'!B68/1000*B110,0)</f>
        <v>11</v>
      </c>
      <c r="D110" s="41">
        <f>'Biomass Data Assumptions'!C68*C110</f>
        <v>164615</v>
      </c>
      <c r="E110" s="41">
        <f>('Biomass Data Assumptions'!D68*'Energy Content Assumptions'!C52*D110)/2000</f>
        <v>4.1153750000000002</v>
      </c>
      <c r="F110" s="41">
        <f>'Biomass Data Assumptions'!E68*B110*365/2000</f>
        <v>20.440000000000001</v>
      </c>
      <c r="G110" s="41">
        <f>F110+E110</f>
        <v>24.555375000000002</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458"/>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43</v>
      </c>
      <c r="C115" s="41">
        <f>ROUND('Biomass Data Assumptions'!$B$71/1000*B115,0)</f>
        <v>17</v>
      </c>
      <c r="D115" s="41">
        <f>'Biomass Data Assumptions'!$C$71*C115</f>
        <v>291635</v>
      </c>
      <c r="E115" s="41">
        <f>('Biomass Data Assumptions'!$D$71*'Energy Content Assumptions'!$C$55*D115)/2000</f>
        <v>7.2908749999999998</v>
      </c>
      <c r="F115" s="41">
        <f>'Biomass Data Assumptions'!$E$71*B115*365/2000</f>
        <v>0</v>
      </c>
      <c r="G115" s="41">
        <f>F115+E115</f>
        <v>7.2908749999999998</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44+138+891</f>
        <v>1073</v>
      </c>
      <c r="C117" s="41">
        <f>ROUND('Biomass Data Assumptions'!B72/1000*B117,0)</f>
        <v>5</v>
      </c>
      <c r="D117" s="41">
        <f>'Biomass Data Assumptions'!C72*C117</f>
        <v>91250</v>
      </c>
      <c r="E117" s="41">
        <f>('Biomass Data Assumptions'!D72*'Energy Content Assumptions'!C56*D117)/2000</f>
        <v>8.8968749999999996</v>
      </c>
      <c r="F117" s="41">
        <f>'Biomass Data Assumptions'!E72*B117*365/2000</f>
        <v>0</v>
      </c>
      <c r="G117" s="41">
        <f>F117+E117</f>
        <v>8.8968749999999996</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69</v>
      </c>
      <c r="C119" s="41">
        <f>ROUND('Biomass Data Assumptions'!B73/1000*B119,0)</f>
        <v>1</v>
      </c>
      <c r="D119" s="41">
        <f>'Biomass Data Assumptions'!C73*C119</f>
        <v>13505</v>
      </c>
      <c r="E119" s="41">
        <f>('Biomass Data Assumptions'!D73*'Energy Content Assumptions'!C57*D119)/2000</f>
        <v>1.26609375</v>
      </c>
      <c r="F119" s="41">
        <f>'Biomass Data Assumptions'!E73*B119*365/2000</f>
        <v>1.25925</v>
      </c>
      <c r="G119" s="41">
        <f>F119+E119</f>
        <v>2.5253437500000002</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1807</v>
      </c>
      <c r="C121" s="48">
        <f t="shared" si="14"/>
        <v>499</v>
      </c>
      <c r="D121" s="48">
        <f t="shared" si="14"/>
        <v>10486632.5</v>
      </c>
      <c r="E121" s="48">
        <f t="shared" si="14"/>
        <v>360.27991125000005</v>
      </c>
      <c r="F121" s="48">
        <f t="shared" si="14"/>
        <v>1234.9592499999999</v>
      </c>
      <c r="G121" s="48">
        <f t="shared" si="14"/>
        <v>1595.2391612499998</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6" t="s">
        <v>1013</v>
      </c>
      <c r="E123" s="36"/>
      <c r="F123" s="36"/>
      <c r="G123" s="36"/>
      <c r="H123" s="36"/>
      <c r="I123" s="36"/>
      <c r="J123" s="36"/>
      <c r="K123" s="36"/>
      <c r="L123" s="36"/>
      <c r="M123" s="36"/>
      <c r="N123" s="36"/>
      <c r="O123" s="36"/>
      <c r="P123" s="36"/>
      <c r="Q123" s="36"/>
      <c r="R123" s="36"/>
    </row>
    <row r="124" spans="1:18" x14ac:dyDescent="0.25">
      <c r="A124" s="50" t="s">
        <v>555</v>
      </c>
      <c r="B124" s="87">
        <v>62968.11</v>
      </c>
      <c r="C124" s="543">
        <f>B124*'Energy Content Assumptions'!C33</f>
        <v>56671.298999999999</v>
      </c>
      <c r="D124" s="36"/>
      <c r="E124" s="36"/>
      <c r="F124" s="36"/>
      <c r="G124" s="36"/>
      <c r="H124" s="36"/>
      <c r="I124" s="36"/>
      <c r="J124" s="36"/>
      <c r="K124" s="36"/>
      <c r="L124" s="36"/>
      <c r="M124" s="36"/>
      <c r="N124" s="36"/>
      <c r="O124" s="36"/>
      <c r="P124" s="36"/>
      <c r="Q124" s="36"/>
      <c r="R124" s="36"/>
    </row>
    <row r="125" spans="1:18" x14ac:dyDescent="0.25">
      <c r="A125" s="50" t="s">
        <v>556</v>
      </c>
      <c r="B125" s="87">
        <v>15032.37</v>
      </c>
      <c r="C125" s="543">
        <f>B125*'Energy Content Assumptions'!C34</f>
        <v>13529.133000000002</v>
      </c>
      <c r="D125" s="36"/>
      <c r="E125" s="36"/>
      <c r="F125" s="36"/>
      <c r="G125" s="36"/>
      <c r="H125" s="36"/>
      <c r="I125" s="36"/>
      <c r="J125" s="36"/>
      <c r="K125" s="36"/>
      <c r="L125" s="36"/>
      <c r="M125" s="36"/>
      <c r="N125" s="36"/>
      <c r="O125" s="36"/>
      <c r="P125" s="36"/>
      <c r="Q125" s="36"/>
      <c r="R125" s="36"/>
    </row>
    <row r="126" spans="1:18" x14ac:dyDescent="0.25">
      <c r="A126" s="50" t="s">
        <v>557</v>
      </c>
      <c r="B126" s="87">
        <v>21145.67</v>
      </c>
      <c r="C126" s="543">
        <f>B126*'Energy Content Assumptions'!C35</f>
        <v>19031.102999999999</v>
      </c>
      <c r="D126" s="36"/>
      <c r="E126" s="36"/>
      <c r="F126" s="36"/>
      <c r="G126" s="36"/>
      <c r="H126" s="36"/>
      <c r="I126" s="36"/>
      <c r="J126" s="36"/>
      <c r="K126" s="36"/>
      <c r="L126" s="36"/>
      <c r="M126" s="36"/>
      <c r="N126" s="36"/>
      <c r="O126" s="36"/>
      <c r="P126" s="36"/>
      <c r="Q126" s="36"/>
      <c r="R126" s="36"/>
    </row>
    <row r="127" spans="1:18" x14ac:dyDescent="0.25">
      <c r="A127" s="50" t="s">
        <v>558</v>
      </c>
      <c r="B127" s="87">
        <v>9558.09</v>
      </c>
      <c r="C127" s="543">
        <f>B127*'Energy Content Assumptions'!C36</f>
        <v>8602.2810000000009</v>
      </c>
      <c r="D127" s="36"/>
      <c r="E127" s="36"/>
      <c r="F127" s="36"/>
      <c r="G127" s="36"/>
      <c r="H127" s="36"/>
      <c r="I127" s="36"/>
      <c r="J127" s="36"/>
      <c r="K127" s="36"/>
      <c r="L127" s="36"/>
      <c r="M127" s="36"/>
      <c r="N127" s="36"/>
      <c r="O127" s="36"/>
      <c r="P127" s="36"/>
      <c r="Q127" s="36"/>
      <c r="R127" s="36"/>
    </row>
    <row r="128" spans="1:18" x14ac:dyDescent="0.25">
      <c r="A128" s="50" t="s">
        <v>559</v>
      </c>
      <c r="B128" s="87">
        <v>17817.18</v>
      </c>
      <c r="C128" s="543">
        <f>B128*'Energy Content Assumptions'!C21</f>
        <v>8908.59</v>
      </c>
      <c r="D128" s="36"/>
      <c r="E128" s="36"/>
      <c r="F128" s="36"/>
      <c r="G128" s="36"/>
      <c r="H128" s="36"/>
      <c r="I128" s="36"/>
      <c r="J128" s="36"/>
      <c r="K128" s="36"/>
      <c r="L128" s="36"/>
      <c r="M128" s="36"/>
      <c r="N128" s="36"/>
      <c r="O128" s="36"/>
      <c r="P128" s="36"/>
      <c r="Q128" s="36"/>
      <c r="R128" s="36"/>
    </row>
    <row r="129" spans="1:18" x14ac:dyDescent="0.25">
      <c r="A129" s="50" t="s">
        <v>560</v>
      </c>
      <c r="B129" s="87">
        <v>11754.75</v>
      </c>
      <c r="C129" s="543">
        <f>B129*'Energy Content Assumptions'!C22</f>
        <v>3918.25</v>
      </c>
      <c r="D129" s="36"/>
      <c r="E129" s="36"/>
      <c r="F129" s="36"/>
      <c r="G129" s="36"/>
      <c r="H129" s="36"/>
      <c r="I129" s="36"/>
      <c r="J129" s="36"/>
      <c r="K129" s="36"/>
      <c r="L129" s="36"/>
      <c r="M129" s="36"/>
      <c r="N129" s="36"/>
      <c r="O129" s="36"/>
      <c r="P129" s="36"/>
      <c r="Q129" s="36"/>
      <c r="R129" s="36"/>
    </row>
    <row r="130" spans="1:18" x14ac:dyDescent="0.25">
      <c r="A130" s="50" t="s">
        <v>561</v>
      </c>
      <c r="B130" s="87">
        <v>27127.54</v>
      </c>
      <c r="C130" s="543">
        <f>B130*'Energy Content Assumptions'!C23</f>
        <v>9042.5133333333324</v>
      </c>
      <c r="D130" s="36"/>
      <c r="E130" s="36"/>
      <c r="F130" s="36"/>
      <c r="G130" s="36"/>
      <c r="H130" s="36"/>
      <c r="I130" s="36"/>
      <c r="J130" s="36"/>
      <c r="K130" s="36"/>
      <c r="L130" s="36"/>
      <c r="M130" s="36"/>
      <c r="N130" s="36"/>
      <c r="O130" s="36"/>
      <c r="P130" s="36"/>
      <c r="Q130" s="36"/>
      <c r="R130" s="36"/>
    </row>
    <row r="131" spans="1:18" x14ac:dyDescent="0.25">
      <c r="A131" s="50" t="s">
        <v>562</v>
      </c>
      <c r="B131" s="87">
        <v>1213.45</v>
      </c>
      <c r="C131" s="543">
        <f>B131*'Energy Content Assumptions'!C24</f>
        <v>606.72500000000002</v>
      </c>
      <c r="D131" s="36"/>
      <c r="E131" s="36"/>
      <c r="F131" s="36"/>
      <c r="G131" s="36"/>
      <c r="H131" s="36"/>
      <c r="I131" s="36"/>
      <c r="J131" s="36"/>
      <c r="K131" s="36"/>
      <c r="L131" s="36"/>
      <c r="M131" s="36"/>
      <c r="N131" s="36"/>
      <c r="O131" s="36"/>
      <c r="P131" s="36"/>
      <c r="Q131" s="36"/>
      <c r="R131" s="36"/>
    </row>
    <row r="132" spans="1:18" x14ac:dyDescent="0.25">
      <c r="A132" s="50" t="s">
        <v>563</v>
      </c>
      <c r="B132" s="87">
        <v>12282.58</v>
      </c>
      <c r="C132" s="543">
        <f>B132*'Energy Content Assumptions'!C31</f>
        <v>3070.645</v>
      </c>
      <c r="D132" s="36"/>
      <c r="E132" s="36"/>
      <c r="F132" s="36"/>
      <c r="G132" s="36"/>
      <c r="H132" s="36"/>
      <c r="I132" s="36"/>
      <c r="J132" s="36"/>
      <c r="K132" s="36"/>
      <c r="L132" s="36"/>
      <c r="M132" s="36"/>
      <c r="N132" s="36"/>
      <c r="O132" s="36"/>
      <c r="P132" s="36"/>
      <c r="Q132" s="36"/>
      <c r="R132" s="36"/>
    </row>
    <row r="133" spans="1:18" x14ac:dyDescent="0.25">
      <c r="A133" s="50" t="s">
        <v>564</v>
      </c>
      <c r="B133" s="87">
        <v>206.74</v>
      </c>
      <c r="C133" s="543">
        <f>B133*'Energy Content Assumptions'!C19</f>
        <v>186.066</v>
      </c>
      <c r="D133" s="36"/>
      <c r="E133" s="36"/>
      <c r="F133" s="36"/>
      <c r="G133" s="36"/>
      <c r="H133" s="36"/>
      <c r="I133" s="36"/>
      <c r="J133" s="36"/>
      <c r="K133" s="36"/>
      <c r="L133" s="36"/>
      <c r="M133" s="36"/>
      <c r="N133" s="36"/>
      <c r="O133" s="36"/>
      <c r="P133" s="36"/>
      <c r="Q133" s="36"/>
      <c r="R133" s="36"/>
    </row>
    <row r="134" spans="1:18" x14ac:dyDescent="0.25">
      <c r="A134" s="50" t="s">
        <v>565</v>
      </c>
      <c r="B134" s="87">
        <v>3930.35</v>
      </c>
      <c r="C134" s="543">
        <f>B134*'Energy Content Assumptions'!C32</f>
        <v>3144.28</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Assumptions'!$M$22</f>
        <v>633403.22</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Assumptions'!$F$22</f>
        <v>411253.1</v>
      </c>
      <c r="C138" s="543">
        <f>B138*'Energy Content Assumptions'!$C$28</f>
        <v>205626.55</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Assumptions'!$H$22</f>
        <v>75330.5</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Assumptions'!$I$22</f>
        <v>335922.6</v>
      </c>
      <c r="C140" s="543">
        <f>B140*'Energy Content Assumptions'!$C$28</f>
        <v>167961.3</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Assumptions'!J22,'Biomass Data Assumptions'!F22*'Biomass Data Assumptions'!I41)</f>
        <v>53142.955320000001</v>
      </c>
      <c r="C141" s="543">
        <f>B141*'Energy Content Assumptions'!C26</f>
        <v>15942.886596</v>
      </c>
      <c r="D141" s="36"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Assumptions'!K22,'Biomass Data Assumptions'!F22*'Biomass Data Assumptions'!I42)</f>
        <v>65336.945699999997</v>
      </c>
      <c r="C142" s="543">
        <f>B142*'Energy Content Assumptions'!C27</f>
        <v>58803.251129999997</v>
      </c>
      <c r="D142" s="36"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Assumptions'!L22,'Biomass Data Assumptions'!F22*'Biomass Data Assumptions'!I43)</f>
        <v>90463.956179999994</v>
      </c>
      <c r="C143" s="543">
        <f>B143*'Energy Content Assumptions'!$C$28</f>
        <v>45231.978089999997</v>
      </c>
      <c r="D143" s="546" t="s">
        <v>1064</v>
      </c>
      <c r="E143" s="36"/>
      <c r="F143" s="36"/>
      <c r="G143" s="36"/>
      <c r="H143" s="36"/>
      <c r="I143" s="36"/>
      <c r="J143" s="36"/>
      <c r="K143" s="36"/>
      <c r="L143" s="36"/>
      <c r="M143" s="36"/>
      <c r="N143" s="36"/>
      <c r="O143" s="36"/>
      <c r="P143" s="36"/>
      <c r="Q143" s="36"/>
      <c r="R143" s="36"/>
    </row>
    <row r="144" spans="1:18" x14ac:dyDescent="0.25">
      <c r="A144" s="50" t="s">
        <v>463</v>
      </c>
      <c r="B144" s="87">
        <v>157635.48000000001</v>
      </c>
      <c r="C144" s="543">
        <f>B144*'Energy Content Assumptions'!C29</f>
        <v>126108.38400000002</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50443.353600000009</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Assumptions'!R22/2000</f>
        <v>2205.3944000000006</v>
      </c>
      <c r="C148" s="1239">
        <f>B148*'Energy Content Assumptions'!C39</f>
        <v>1874.5852400000003</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Assumptions'!S22/2000</f>
        <v>3350.6958099999997</v>
      </c>
      <c r="C149" s="1239">
        <f>B149*'Energy Content Assumptions'!C40</f>
        <v>167.53479049999999</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S199"/>
  <sheetViews>
    <sheetView topLeftCell="A100"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575</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2010</v>
      </c>
      <c r="F4" s="22">
        <v>2015</v>
      </c>
      <c r="G4" s="22">
        <v>2020</v>
      </c>
      <c r="H4" s="22">
        <v>2025</v>
      </c>
      <c r="I4" s="22">
        <v>2012</v>
      </c>
      <c r="J4" s="22">
        <v>2015</v>
      </c>
      <c r="K4" s="22">
        <v>2020</v>
      </c>
      <c r="L4" s="22">
        <v>2025</v>
      </c>
      <c r="M4" s="22">
        <v>2012</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2278.1864</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521.32080000000008</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48797</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11673.72</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63270.227200000001</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745.44999999999993</v>
      </c>
      <c r="D15" s="294">
        <f>E15*'Conversion Tables'!C14</f>
        <v>9381.9355199999991</v>
      </c>
      <c r="E15" s="294">
        <f>C15*'Prac. Rec. Assumptions'!B11</f>
        <v>596.36</v>
      </c>
      <c r="F15" s="294">
        <f>$E15</f>
        <v>596.36</v>
      </c>
      <c r="G15" s="294">
        <f>$E15</f>
        <v>596.36</v>
      </c>
      <c r="H15" s="294">
        <f>$E15</f>
        <v>596.36</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2006.2124999999999</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29626.75</v>
      </c>
      <c r="D17" s="294">
        <f>E17*'Conversion Tables'!C16</f>
        <v>396174.82634999999</v>
      </c>
      <c r="E17" s="294">
        <f>C17*'Prac. Rec. Assumptions'!B13</f>
        <v>25182.737499999999</v>
      </c>
      <c r="F17" s="294">
        <f t="shared" si="2"/>
        <v>25182.737499999999</v>
      </c>
      <c r="G17" s="294">
        <f t="shared" si="2"/>
        <v>25182.737499999999</v>
      </c>
      <c r="H17" s="294">
        <f t="shared" si="2"/>
        <v>25182.737499999999</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14912.519999999999</v>
      </c>
      <c r="D18" s="294">
        <f>E18*'Conversion Tables'!C17</f>
        <v>175952.82347999999</v>
      </c>
      <c r="E18" s="294">
        <f>C18*'Prac. Rec. Assumptions'!B14</f>
        <v>11184.39</v>
      </c>
      <c r="F18" s="294">
        <f t="shared" si="2"/>
        <v>11184.39</v>
      </c>
      <c r="G18" s="294">
        <f t="shared" si="2"/>
        <v>11184.39</v>
      </c>
      <c r="H18" s="294">
        <f t="shared" si="2"/>
        <v>11184.39</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11951.68</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11996.39</v>
      </c>
      <c r="D20" s="294">
        <f>E20*'Conversion Tables'!C19</f>
        <v>93571.84199999999</v>
      </c>
      <c r="E20" s="294">
        <f>C20*'Prac. Rec. Assumptions'!B16</f>
        <v>5998.1949999999997</v>
      </c>
      <c r="F20" s="294">
        <f t="shared" si="2"/>
        <v>5998.1949999999997</v>
      </c>
      <c r="G20" s="294">
        <f t="shared" si="2"/>
        <v>5998.1949999999997</v>
      </c>
      <c r="H20" s="294">
        <f t="shared" si="2"/>
        <v>5998.1949999999997</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10921.225</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Assumptions'!P23*1000*'Energy Content Assumptions'!C18</f>
        <v>32043</v>
      </c>
      <c r="D22" s="294">
        <f>E22*'Conversion Tables'!C21</f>
        <v>249935.4</v>
      </c>
      <c r="E22" s="294">
        <f>C22*'Prac. Rec. Assumptions'!B18</f>
        <v>16021.5</v>
      </c>
      <c r="F22" s="294">
        <f t="shared" si="2"/>
        <v>16021.5</v>
      </c>
      <c r="G22" s="294">
        <f t="shared" si="2"/>
        <v>16021.5</v>
      </c>
      <c r="H22" s="294">
        <f t="shared" si="2"/>
        <v>16021.5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193.96</v>
      </c>
      <c r="D23" s="294">
        <f>E23*'Conversion Tables'!C22</f>
        <v>3168.5305599999997</v>
      </c>
      <c r="E23" s="294">
        <f>C23*'Prac. Rec. Assumptions'!B19</f>
        <v>193.96</v>
      </c>
      <c r="F23" s="297">
        <f t="shared" si="2"/>
        <v>193.96</v>
      </c>
      <c r="G23" s="297">
        <f t="shared" si="2"/>
        <v>193.96</v>
      </c>
      <c r="H23" s="297">
        <f t="shared" si="2"/>
        <v>193.96</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3307.2249999999999</v>
      </c>
      <c r="D25" s="294">
        <f>E25*'Conversion Tables'!C24</f>
        <v>58537.882499999992</v>
      </c>
      <c r="E25" s="294">
        <f>C25*'Prac. Rec. Assumptions'!B21</f>
        <v>3307.2249999999999</v>
      </c>
      <c r="F25" s="294">
        <f>($C25*(1+'Biomass Data Assumptions'!G$108))*'Prac. Rec. Assumptions'!$B21</f>
        <v>3332.2040407854984</v>
      </c>
      <c r="G25" s="294">
        <f>($C25*(1+'Biomass Data Assumptions'!H$108))*'Prac. Rec. Assumptions'!$B21</f>
        <v>3357.1830815709968</v>
      </c>
      <c r="H25" s="294">
        <f>($C25*(1+'Biomass Data Assumptions'!I$108))*'Prac. Rec. Assumptions'!$B21</f>
        <v>3387.1579305135951</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143.33333333333331</v>
      </c>
      <c r="D26" s="294">
        <f>E26*'Conversion Tables'!C25</f>
        <v>2235.9999999999995</v>
      </c>
      <c r="E26" s="294">
        <f>C26*'Prac. Rec. Assumptions'!B22</f>
        <v>143.33333333333331</v>
      </c>
      <c r="F26" s="294">
        <f>($C26*(1+'Biomass Data Assumptions'!G$108))*'Prac. Rec. Assumptions'!$B22</f>
        <v>144.41591137965759</v>
      </c>
      <c r="G26" s="294">
        <f>($C26*(1+'Biomass Data Assumptions'!H$108))*'Prac. Rec. Assumptions'!$B22</f>
        <v>145.49848942598186</v>
      </c>
      <c r="H26" s="294">
        <f>($C26*(1+'Biomass Data Assumptions'!I$108))*'Prac. Rec. Assumptions'!$B22</f>
        <v>146.79758308157099</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612.13666666666666</v>
      </c>
      <c r="D27" s="294">
        <f>E27*'Conversion Tables'!C26</f>
        <v>9549.3320000000003</v>
      </c>
      <c r="E27" s="294">
        <f>C27*'Prac. Rec. Assumptions'!B23</f>
        <v>612.13666666666666</v>
      </c>
      <c r="F27" s="294">
        <f>($C27*(1+'Biomass Data Assumptions'!G$108))*'Prac. Rec. Assumptions'!$B23</f>
        <v>616.76005538771403</v>
      </c>
      <c r="G27" s="294">
        <f>($C27*(1+'Biomass Data Assumptions'!H$108))*'Prac. Rec. Assumptions'!$B23</f>
        <v>621.3834441087613</v>
      </c>
      <c r="H27" s="294">
        <f>($C27*(1+'Biomass Data Assumptions'!I$108))*'Prac. Rec. Assumptions'!$B23</f>
        <v>626.93151057401815</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65.510000000000005</v>
      </c>
      <c r="D28" s="294">
        <f>E28*'Conversion Tables'!C27</f>
        <v>1159.527</v>
      </c>
      <c r="E28" s="294">
        <f>C28*'Prac. Rec. Assumptions'!B24</f>
        <v>65.510000000000005</v>
      </c>
      <c r="F28" s="294">
        <f>($C28*(1+'Biomass Data Assumptions'!G$108))*'Prac. Rec. Assumptions'!$B24</f>
        <v>66.004788519637472</v>
      </c>
      <c r="G28" s="294">
        <f>($C28*(1+'Biomass Data Assumptions'!H$108))*'Prac. Rec. Assumptions'!$B24</f>
        <v>66.499577039274925</v>
      </c>
      <c r="H28" s="294">
        <f>($C28*(1+'Biomass Data Assumptions'!I$108))*'Prac. Rec. Assumptions'!$B24</f>
        <v>67.093323262839888</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118525.39250000002</v>
      </c>
      <c r="D29" s="295">
        <f>SUM(D13:D28)</f>
        <v>999668.09940999991</v>
      </c>
      <c r="E29" s="295">
        <f t="shared" si="3"/>
        <v>63305.347500000003</v>
      </c>
      <c r="F29" s="295">
        <f>SUM(F13:F28)</f>
        <v>63336.527296072505</v>
      </c>
      <c r="G29" s="295">
        <f>SUM(G13:G28)</f>
        <v>63367.707092145021</v>
      </c>
      <c r="H29" s="295">
        <f>SUM(H13:H28)</f>
        <v>63405.122847432023</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1900.3012476000004</v>
      </c>
      <c r="D32" s="294">
        <f>E32*'Conversion Tables'!C29</f>
        <v>18242.891976960007</v>
      </c>
      <c r="E32" s="294">
        <f>C32*'Prac. Rec. Assumptions'!B26</f>
        <v>1140.1807485600004</v>
      </c>
      <c r="F32" s="294">
        <f>($C32*(1+'Biomass Data Assumptions'!G$108)*(1+'Biomass Data Assumptions'!C$82))*'Prac. Rec. Assumptions'!$B26</f>
        <v>1148.0123791468222</v>
      </c>
      <c r="G32" s="294">
        <f>($C32*(1+'Biomass Data Assumptions'!H$108)*(1+'Biomass Data Assumptions'!D$82))*'Prac. Rec. Assumptions'!$B26</f>
        <v>1155.8328490619631</v>
      </c>
      <c r="H32" s="294">
        <f>($C32*(1+'Biomass Data Assumptions'!I$108)*(1+'Biomass Data Assumptions'!E$82))*'Prac. Rec. Assumptions'!$B26</f>
        <v>1165.3609913718708</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7009.0125030000017</v>
      </c>
      <c r="D33" s="294">
        <f>E33*'Conversion Tables'!C30</f>
        <v>81427.903654852824</v>
      </c>
      <c r="E33" s="294">
        <f>C33*'Prac. Rec. Assumptions'!B27</f>
        <v>5607.2100024000019</v>
      </c>
      <c r="F33" s="294">
        <f>($C33*(1+'Biomass Data Assumptions'!G$108)*(1+'Biomass Data Assumptions'!C$82))*'Prac. Rec. Assumptions'!$B27</f>
        <v>5645.7245952985313</v>
      </c>
      <c r="G33" s="294">
        <f>($C33*(1+'Biomass Data Assumptions'!H$108)*(1+'Biomass Data Assumptions'!D$82))*'Prac. Rec. Assumptions'!$B27</f>
        <v>5684.1843019608559</v>
      </c>
      <c r="H33" s="294">
        <f>($C33*(1+'Biomass Data Assumptions'!I$108)*(1+'Biomass Data Assumptions'!E$82))*'Prac. Rec. Assumptions'!$B27</f>
        <v>5731.0420435354963</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5391.3940790000006</v>
      </c>
      <c r="D34" s="294">
        <f>E34*'Conversion Tables'!C31</f>
        <v>56371.553866971379</v>
      </c>
      <c r="E34" s="294">
        <f>C34*'Prac. Rec. Assumptions'!B28</f>
        <v>3881.803736880001</v>
      </c>
      <c r="F34" s="294">
        <f>($C34*(1+'Biomass Data Assumptions'!G$108)*(1+'Biomass Data Assumptions'!C$82))*'Prac. Rec. Assumptions'!$B28</f>
        <v>3908.4669242002428</v>
      </c>
      <c r="G34" s="294">
        <f>($C34*(1+'Biomass Data Assumptions'!H$108)*(1+'Biomass Data Assumptions'!D$82))*'Prac. Rec. Assumptions'!$B28</f>
        <v>3935.0921144423091</v>
      </c>
      <c r="H34" s="294">
        <f>($C34*(1+'Biomass Data Assumptions'!I$108)*(1+'Biomass Data Assumptions'!E$82))*'Prac. Rec. Assumptions'!$B28</f>
        <v>3967.5311627869128</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2479.5776000000005</v>
      </c>
      <c r="D35" s="294">
        <f>E35*'Conversion Tables'!C32</f>
        <v>28088.655052800012</v>
      </c>
      <c r="E35" s="294">
        <f>C35*'Prac. Rec. Assumptions'!B29</f>
        <v>1586.9296640000007</v>
      </c>
      <c r="F35" s="294">
        <f>($C35*(1+'Biomass Data Assumptions'!G$108)*(1+'Biomass Data Assumptions'!C$83))*'Prac. Rec. Assumptions'!$B29</f>
        <v>1679.1988346769454</v>
      </c>
      <c r="G35" s="294">
        <f>($C35*(1+'Biomass Data Assumptions'!H$108)*(1+'Biomass Data Assumptions'!D$83))*'Prac. Rec. Assumptions'!$B29</f>
        <v>1776.7329833304389</v>
      </c>
      <c r="H35" s="294">
        <f>($C35*(1+'Biomass Data Assumptions'!I$108)*(1+'Biomass Data Assumptions'!E$83))*'Prac. Rec. Assumptions'!$B29</f>
        <v>1882.6049091884311</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4.6425000000000001</v>
      </c>
      <c r="D37" s="294">
        <f>E37*'Conversion Tables'!C34</f>
        <v>74.28</v>
      </c>
      <c r="E37" s="294">
        <f>C37*'Prac. Rec. Assumptions'!B31</f>
        <v>4.6425000000000001</v>
      </c>
      <c r="F37" s="294">
        <f>($C37*(1+'Biomass Data Assumptions'!G$108)*(1+'Biomass Data Assumptions'!C$84))*'Prac. Rec. Assumptions'!$B31</f>
        <v>5.1148050567188319</v>
      </c>
      <c r="G37" s="294">
        <f>($C37*(1+'Biomass Data Assumptions'!H$108)*(1+'Biomass Data Assumptions'!D$84))*'Prac. Rec. Assumptions'!$B31</f>
        <v>5.6348434398432117</v>
      </c>
      <c r="H37" s="294">
        <f>($C37*(1+'Biomass Data Assumptions'!I$108)*(1+'Biomass Data Assumptions'!E$84))*'Prac. Rec. Assumptions'!$B31</f>
        <v>6.2165811007633973</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589.24</v>
      </c>
      <c r="D38" s="294">
        <f>E38*'Conversion Tables'!C35</f>
        <v>5214.7739999999994</v>
      </c>
      <c r="E38" s="294">
        <f>C38*'Prac. Rec. Assumptions'!B32</f>
        <v>294.62</v>
      </c>
      <c r="F38" s="294">
        <f>($C38*(1+'Biomass Data Assumptions'!G$108)*(1+'Biomass Data Assumptions'!C$84))*'Prac. Rec. Assumptions'!$B32</f>
        <v>324.59318595810498</v>
      </c>
      <c r="G38" s="294">
        <f>($C38*(1+'Biomass Data Assumptions'!H$108)*(1+'Biomass Data Assumptions'!D$84))*'Prac. Rec. Assumptions'!$B32</f>
        <v>357.59560026852063</v>
      </c>
      <c r="H38" s="294">
        <f>($C38*(1+'Biomass Data Assumptions'!I$108)*(1+'Biomass Data Assumptions'!E$84))*'Prac. Rec. Assumptions'!$B32</f>
        <v>394.513543114036</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3808.4940000000001</v>
      </c>
      <c r="D39" s="299">
        <f>E39*'Conversion Tables'!C36</f>
        <v>0</v>
      </c>
      <c r="E39" s="299">
        <f>C39*'Prac. Rec. Assumptions'!B33</f>
        <v>0</v>
      </c>
      <c r="F39" s="294">
        <f>($C39*(1+'Biomass Data Assumptions'!G$108)*(1+'Biomass Data Assumptions'!C$84))*'Prac. Rec. Assumptions'!$B33</f>
        <v>0</v>
      </c>
      <c r="G39" s="294">
        <f>($C39*(1+'Biomass Data Assumptions'!H$108)*(1+'Biomass Data Assumptions'!D$84))*'Prac. Rec. Assumptions'!$B33</f>
        <v>0</v>
      </c>
      <c r="H39" s="294">
        <f>($C39*(1+'Biomass Data Assumptions'!I$108)*(1+'Biomass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670.67100000000005</v>
      </c>
      <c r="D40" s="299">
        <f>E40*'Conversion Tables'!C37</f>
        <v>0</v>
      </c>
      <c r="E40" s="299">
        <f>C40*'Prac. Rec. Assumptions'!B34</f>
        <v>0</v>
      </c>
      <c r="F40" s="294">
        <f>($C40*(1+'Biomass Data Assumptions'!G$108)*(1+'Biomass Data Assumptions'!C$84))*'Prac. Rec. Assumptions'!$B34</f>
        <v>0</v>
      </c>
      <c r="G40" s="294">
        <f>($C40*(1+'Biomass Data Assumptions'!H$108)*(1+'Biomass Data Assumptions'!D$84))*'Prac. Rec. Assumptions'!$B34</f>
        <v>0</v>
      </c>
      <c r="H40" s="294">
        <f>($C40*(1+'Biomass Data Assumptions'!I$108)*(1+'Biomass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1545.327</v>
      </c>
      <c r="D41" s="299">
        <f>E41*'Conversion Tables'!C38</f>
        <v>0</v>
      </c>
      <c r="E41" s="299">
        <f>C41*'Prac. Rec. Assumptions'!B35</f>
        <v>0</v>
      </c>
      <c r="F41" s="294">
        <f>($C41*(1+'Biomass Data Assumptions'!G$108)*(1+'Biomass Data Assumptions'!C$84))*'Prac. Rec. Assumptions'!$B35</f>
        <v>0</v>
      </c>
      <c r="G41" s="294">
        <f>($C41*(1+'Biomass Data Assumptions'!H$108)*(1+'Biomass Data Assumptions'!D$84))*'Prac. Rec. Assumptions'!$B35</f>
        <v>0</v>
      </c>
      <c r="H41" s="294">
        <f>($C41*(1+'Biomass Data Assumptions'!I$108)*(1+'Biomass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888.13800000000003</v>
      </c>
      <c r="D42" s="299">
        <f>E42*'Conversion Tables'!C39</f>
        <v>12897.540036</v>
      </c>
      <c r="E42" s="299">
        <f>C42*'Prac. Rec. Assumptions'!B36</f>
        <v>888.13800000000003</v>
      </c>
      <c r="F42" s="294">
        <f>($C42*(1+'Biomass Data Assumptions'!G$108)*(1+'Biomass Data Assumptions'!C$84))*'Prac. Rec. Assumptions'!$B36</f>
        <v>978.49278049847078</v>
      </c>
      <c r="G42" s="294">
        <f>($C42*(1+'Biomass Data Assumptions'!H$108)*(1+'Biomass Data Assumptions'!D$84))*'Prac. Rec. Assumptions'!$B36</f>
        <v>1077.9792316586904</v>
      </c>
      <c r="H42" s="294">
        <f>($C42*(1+'Biomass Data Assumptions'!I$108)*(1+'Biomass Data Assumptions'!E$84))*'Prac. Rec. Assumptions'!$B36</f>
        <v>1189.2691234614545</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24286.797929600005</v>
      </c>
      <c r="D43" s="295">
        <f t="shared" si="4"/>
        <v>202317.59858758422</v>
      </c>
      <c r="E43" s="295">
        <f t="shared" si="4"/>
        <v>13403.524651840005</v>
      </c>
      <c r="F43" s="295">
        <f t="shared" si="4"/>
        <v>13689.603504835835</v>
      </c>
      <c r="G43" s="295">
        <f t="shared" si="4"/>
        <v>13993.051924162621</v>
      </c>
      <c r="H43" s="295">
        <f t="shared" si="4"/>
        <v>14336.538354558963</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20320.32</v>
      </c>
      <c r="D46" s="294">
        <f>E46*'Conversion Tables'!C41</f>
        <v>0</v>
      </c>
      <c r="E46" s="294">
        <f>C46*'Prac. Rec. Assumptions'!B38</f>
        <v>20320.32</v>
      </c>
      <c r="F46" s="294">
        <f>$E46</f>
        <v>20320.32</v>
      </c>
      <c r="G46" s="294">
        <f>$E46</f>
        <v>20320.32</v>
      </c>
      <c r="H46" s="294">
        <f>$E46</f>
        <v>20320.32</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247.15042</v>
      </c>
      <c r="D47" s="294"/>
      <c r="E47" s="294">
        <f>C47*'Prac. Rec. Assumptions'!B39</f>
        <v>123.57521</v>
      </c>
      <c r="F47" s="294">
        <f>($C47*(1+'Biomass Data Assumptions'!G$108))*'Prac. Rec. Assumptions'!$B39</f>
        <v>124.50855750755287</v>
      </c>
      <c r="G47" s="294">
        <f>($C47*(1+'Biomass Data Assumptions'!H$108))*'Prac. Rec. Assumptions'!$B39</f>
        <v>125.44190501510573</v>
      </c>
      <c r="H47" s="294">
        <f>($C47*(1+'Biomass Data Assumptions'!I$108))*'Prac. Rec. Assumptions'!$B39</f>
        <v>126.56192202416919</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22.088242749999999</v>
      </c>
      <c r="D48" s="294"/>
      <c r="E48" s="294">
        <f>C48*'Prac. Rec. Assumptions'!B40</f>
        <v>22.088242749999999</v>
      </c>
      <c r="F48" s="294">
        <f>($C48*(1+'Biomass Data Assumptions'!G$108))*'Prac. Rec. Assumptions'!$B40</f>
        <v>22.255072378021147</v>
      </c>
      <c r="G48" s="294">
        <f>($C48*(1+'Biomass Data Assumptions'!H$108))*'Prac. Rec. Assumptions'!$B40</f>
        <v>22.421902006042295</v>
      </c>
      <c r="H48" s="294">
        <f>($C48*(1+'Biomass Data Assumptions'!I$108))*'Prac. Rec. Assumptions'!$B40</f>
        <v>22.622097559667672</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20589.558662750002</v>
      </c>
      <c r="D49" s="295">
        <f>SUM(D45:D48)</f>
        <v>0</v>
      </c>
      <c r="E49" s="295">
        <f t="shared" si="6"/>
        <v>20465.983452749999</v>
      </c>
      <c r="F49" s="295">
        <f>SUM(F45:F48)</f>
        <v>20467.083629885576</v>
      </c>
      <c r="G49" s="295">
        <f>SUM(G45:G48)</f>
        <v>20468.183807021145</v>
      </c>
      <c r="H49" s="295">
        <f>SUM(H45:H48)</f>
        <v>20469.504019583834</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3661.7267200000001</v>
      </c>
      <c r="D52" s="299">
        <f>E52*'Conversion Tables'!C45</f>
        <v>10812.346658816001</v>
      </c>
      <c r="E52" s="299">
        <f>C52*'Prac. Rec. Assumptions'!B42</f>
        <v>732.34534400000007</v>
      </c>
      <c r="F52" s="294">
        <f t="shared" ref="F52:H59" si="7">$E52</f>
        <v>732.34534400000007</v>
      </c>
      <c r="G52" s="294">
        <f t="shared" si="7"/>
        <v>732.34534400000007</v>
      </c>
      <c r="H52" s="294">
        <f t="shared" si="7"/>
        <v>732.34534400000007</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11580.89885</v>
      </c>
      <c r="D53" s="299">
        <f>E53*'Conversion Tables'!C46</f>
        <v>102588.23437283999</v>
      </c>
      <c r="E53" s="299">
        <f>C53*'Prac. Rec. Assumptions'!B43</f>
        <v>6948.5393099999992</v>
      </c>
      <c r="F53" s="294">
        <f t="shared" si="7"/>
        <v>6948.5393099999992</v>
      </c>
      <c r="G53" s="294">
        <f t="shared" si="7"/>
        <v>6948.5393099999992</v>
      </c>
      <c r="H53" s="294">
        <f t="shared" si="7"/>
        <v>6948.5393099999992</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7220.4436875000001</v>
      </c>
      <c r="D54" s="299">
        <f>E54*'Conversion Tables'!C47</f>
        <v>63961.578361349995</v>
      </c>
      <c r="E54" s="299">
        <f>C54*'Prac. Rec. Assumptions'!B44</f>
        <v>4332.2662124999997</v>
      </c>
      <c r="F54" s="294">
        <f t="shared" si="7"/>
        <v>4332.2662124999997</v>
      </c>
      <c r="G54" s="294">
        <f t="shared" si="7"/>
        <v>4332.2662124999997</v>
      </c>
      <c r="H54" s="294">
        <f t="shared" si="7"/>
        <v>4332.2662124999997</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191.32387500000002</v>
      </c>
      <c r="D55" s="299">
        <f>E55*'Conversion Tables'!C48</f>
        <v>564.9411381000001</v>
      </c>
      <c r="E55" s="299">
        <f>C55*'Prac. Rec. Assumptions'!B45</f>
        <v>38.264775000000007</v>
      </c>
      <c r="F55" s="294">
        <f t="shared" si="7"/>
        <v>38.264775000000007</v>
      </c>
      <c r="G55" s="294">
        <f t="shared" si="7"/>
        <v>38.264775000000007</v>
      </c>
      <c r="H55" s="294">
        <f t="shared" si="7"/>
        <v>38.264775000000007</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227.79649999999998</v>
      </c>
      <c r="D56" s="299">
        <f>E56*'Conversion Tables'!C49</f>
        <v>672.63750519999996</v>
      </c>
      <c r="E56" s="299">
        <f>C56*'Prac. Rec. Assumptions'!B46</f>
        <v>45.5593</v>
      </c>
      <c r="F56" s="294">
        <f t="shared" si="7"/>
        <v>45.5593</v>
      </c>
      <c r="G56" s="294">
        <f t="shared" si="7"/>
        <v>45.5593</v>
      </c>
      <c r="H56" s="294">
        <f t="shared" si="7"/>
        <v>45.5593</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78.484125000000006</v>
      </c>
      <c r="D57" s="299">
        <f>E57*'Conversion Tables'!C50</f>
        <v>579.36981075000006</v>
      </c>
      <c r="E57" s="299">
        <f>C57*'Prac. Rec. Assumptions'!B47</f>
        <v>39.242062500000003</v>
      </c>
      <c r="F57" s="294">
        <f t="shared" si="7"/>
        <v>39.242062500000003</v>
      </c>
      <c r="G57" s="294">
        <f t="shared" si="7"/>
        <v>39.242062500000003</v>
      </c>
      <c r="H57" s="294">
        <f t="shared" si="7"/>
        <v>39.242062500000003</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42.704999999999998</v>
      </c>
      <c r="D58" s="299">
        <f>E58*'Conversion Tables'!C51</f>
        <v>512.46</v>
      </c>
      <c r="E58" s="299">
        <f>C58*'Prac. Rec. Assumptions'!B48</f>
        <v>42.704999999999998</v>
      </c>
      <c r="F58" s="294">
        <f t="shared" si="7"/>
        <v>42.704999999999998</v>
      </c>
      <c r="G58" s="294">
        <f t="shared" si="7"/>
        <v>42.704999999999998</v>
      </c>
      <c r="H58" s="294">
        <f t="shared" si="7"/>
        <v>42.704999999999998</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2.0690937500000004</v>
      </c>
      <c r="D59" s="299">
        <f>E59*'Conversion Tables'!C52</f>
        <v>30.548100125000005</v>
      </c>
      <c r="E59" s="299">
        <f>C59*'Prac. Rec. Assumptions'!B49</f>
        <v>2.0690937500000004</v>
      </c>
      <c r="F59" s="294">
        <f t="shared" si="7"/>
        <v>2.0690937500000004</v>
      </c>
      <c r="G59" s="294">
        <f t="shared" si="7"/>
        <v>2.0690937500000004</v>
      </c>
      <c r="H59" s="294">
        <f t="shared" si="7"/>
        <v>2.0690937500000004</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Assumptions'!AE23</f>
        <v>292.88376700000003</v>
      </c>
      <c r="D60" s="299">
        <f>E60*'Conversion Tables'!C53</f>
        <v>3514.6052040000004</v>
      </c>
      <c r="E60" s="299">
        <f>C60*'Prac. Rec. Assumptions'!B50</f>
        <v>292.88376700000003</v>
      </c>
      <c r="F60" s="294">
        <f>($C60*(1+'Biomass Data Assumptions'!G$108*(4/5)))*'Prac. Rec. Assumptions'!$B50</f>
        <v>294.65345743504531</v>
      </c>
      <c r="G60" s="294">
        <f>($C60*(1+'Biomass Data Assumptions'!H$108*(9/10)))*'Prac. Rec. Assumptions'!$B50</f>
        <v>296.86557047885196</v>
      </c>
      <c r="H60" s="294">
        <f>($C60*(1+'Biomass Data Assumptions'!I$108*(14/15)))*'Prac. Rec. Assumptions'!$B50</f>
        <v>299.49061129083589</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23298.331618249998</v>
      </c>
      <c r="D61" s="295">
        <f>SUM(D52:D60)</f>
        <v>183236.72115118094</v>
      </c>
      <c r="E61" s="295">
        <f t="shared" ref="E61:P61" si="8">SUM(E52:E60)</f>
        <v>12473.87486475</v>
      </c>
      <c r="F61" s="295">
        <f>SUM(F52:F60)</f>
        <v>12475.644555185045</v>
      </c>
      <c r="G61" s="295">
        <f>SUM(G52:G60)</f>
        <v>12477.856668228853</v>
      </c>
      <c r="H61" s="295">
        <f>SUM(H52:H60)</f>
        <v>12480.481709040836</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Assumptions'!AB23</f>
        <v>0</v>
      </c>
      <c r="D63" s="300">
        <f>E63*'Conversion Tables'!C55</f>
        <v>0</v>
      </c>
      <c r="E63" s="299">
        <f>C63*'Prac. Rec. Assumptions'!B51</f>
        <v>0</v>
      </c>
      <c r="F63" s="294">
        <f>($C63*(1+'Biomass Data Assumptions'!G$108*(4/5)))*'Prac. Rec. Assumptions'!$B51</f>
        <v>0</v>
      </c>
      <c r="G63" s="294">
        <f>($C63*(1+'Biomass Data Assumptions'!H$108*(9/10)))*'Prac. Rec. Assumptions'!$B51</f>
        <v>0</v>
      </c>
      <c r="H63" s="294">
        <f>($C63*(1+'Biomass Data Assumptions'!I$108*(14/15)))*'Prac. Rec. Assumptions'!$B51</f>
        <v>0</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Assumptions'!X23</f>
        <v>309.14215200000001</v>
      </c>
      <c r="D64" s="300">
        <f>E64*'Conversion Tables'!C56</f>
        <v>156425.928912</v>
      </c>
      <c r="E64" s="299">
        <f>C64*'Prac. Rec. Assumptions'!B52</f>
        <v>309.14215200000001</v>
      </c>
      <c r="F64" s="545">
        <f>($C64*(1+'Biomass Data Assumptions'!G$108*(3/5))*(1+('Biomass Data Assumptions'!C$82-((1+'Biomass Data Assumptions'!$B$82)^2 - 1))))*'Prac. Rec. Assumptions'!$B52</f>
        <v>310.41660405436249</v>
      </c>
      <c r="G64" s="545">
        <f>($C64*(1+'Biomass Data Assumptions'!H$108*(4/5))*(1+('Biomass Data Assumptions'!D$82-((1+'Biomass Data Assumptions'!$B$82)^2 - 1))))*'Prac. Rec. Assumptions'!$B52</f>
        <v>312.53826996824836</v>
      </c>
      <c r="H64" s="545">
        <f>($C64*(1+'Biomass Data Assumptions'!I$108*(13/15))*(1+('Biomass Data Assumptions'!E$82-((1+'Biomass Data Assumptions'!$B$82)^2 - 1))))*'Prac. Rec. Assumptions'!$B52</f>
        <v>315.06091647793664</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309.14215200000001</v>
      </c>
      <c r="D65" s="295">
        <f>SUM(D63:D64)</f>
        <v>156425.928912</v>
      </c>
      <c r="E65" s="295">
        <f t="shared" ref="E65:P65" si="9">SUM(E63:E64)</f>
        <v>309.14215200000001</v>
      </c>
      <c r="F65" s="295">
        <f>SUM(F63:F64)</f>
        <v>310.41660405436249</v>
      </c>
      <c r="G65" s="295">
        <f>SUM(G63:G64)</f>
        <v>312.53826996824836</v>
      </c>
      <c r="H65" s="295">
        <f>SUM(H63:H64)</f>
        <v>315.06091647793664</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35486.314973318411</v>
      </c>
      <c r="D67" s="295">
        <f t="shared" ref="D67" si="10">D61+D65</f>
        <v>339662.65006318095</v>
      </c>
      <c r="E67" s="295">
        <f>E61+(E63*1000000/29487.1582406855)+(E64*1000000/25364.5039539246)</f>
        <v>24661.858219818416</v>
      </c>
      <c r="F67" s="295">
        <f t="shared" ref="F67:H67" si="11">F61+(F63*1000000/29487.1582406855)+(F64*1000000/25364.5039539246)</f>
        <v>24713.873405165465</v>
      </c>
      <c r="G67" s="295">
        <f t="shared" si="11"/>
        <v>24799.732567555871</v>
      </c>
      <c r="H67" s="295">
        <f t="shared" si="11"/>
        <v>24901.813387762188</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262158.29126566841</v>
      </c>
      <c r="D68" s="132"/>
      <c r="E68" s="132">
        <f>E11+E29+E43+E49+E67</f>
        <v>121836.71382440842</v>
      </c>
      <c r="F68" s="132">
        <f>F11+F29+F43+F49+F67</f>
        <v>122207.08783595938</v>
      </c>
      <c r="G68" s="132">
        <f>G11+G29+G43+G49+G67</f>
        <v>122628.67539088464</v>
      </c>
      <c r="H68" s="132">
        <f>H11+H29+H43+H49+H67</f>
        <v>123112.97860933701</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1246</v>
      </c>
      <c r="C74" s="40">
        <f>'Biomass Data Assumptions'!B38*B74</f>
        <v>81363.8</v>
      </c>
      <c r="D74" s="40">
        <f>(C74*'Biomass Data Assumptions'!C38)/2000</f>
        <v>2278.1864</v>
      </c>
      <c r="E74" s="41"/>
      <c r="F74" s="41"/>
      <c r="G74" s="41"/>
      <c r="H74" s="36"/>
      <c r="I74" s="36"/>
      <c r="J74" s="36"/>
      <c r="K74" s="36"/>
      <c r="L74" s="36"/>
      <c r="M74" s="36"/>
      <c r="N74" s="36"/>
      <c r="O74" s="36"/>
      <c r="P74" s="36"/>
      <c r="Q74" s="36"/>
      <c r="R74" s="36"/>
    </row>
    <row r="75" spans="1:19" x14ac:dyDescent="0.25">
      <c r="A75" s="39" t="s">
        <v>520</v>
      </c>
      <c r="B75" s="21">
        <v>682</v>
      </c>
      <c r="C75" s="40">
        <f>'Biomass Data Assumptions'!B39*B75</f>
        <v>18618.600000000002</v>
      </c>
      <c r="D75" s="40">
        <f>(C75*'Biomass Data Assumptions'!C39)/2000</f>
        <v>521.32080000000008</v>
      </c>
      <c r="E75" s="41"/>
      <c r="F75" s="41"/>
      <c r="G75" s="41"/>
      <c r="H75" s="36"/>
      <c r="I75" s="36"/>
      <c r="J75" s="36"/>
      <c r="K75" s="36"/>
      <c r="L75" s="36"/>
      <c r="M75" s="36"/>
      <c r="N75" s="36"/>
      <c r="O75" s="36"/>
      <c r="P75" s="36"/>
      <c r="Q75" s="36"/>
      <c r="R75" s="36"/>
    </row>
    <row r="76" spans="1:19" x14ac:dyDescent="0.25">
      <c r="A76" s="39" t="s">
        <v>521</v>
      </c>
      <c r="B76" s="21">
        <v>13942</v>
      </c>
      <c r="C76" s="40">
        <f>'Biomass Data Assumptions'!B40*B76</f>
        <v>1742750</v>
      </c>
      <c r="D76" s="40">
        <f>(C76*'Biomass Data Assumptions'!C40)/2000</f>
        <v>48797</v>
      </c>
      <c r="E76" s="41"/>
      <c r="F76" s="41"/>
      <c r="G76" s="41"/>
      <c r="H76" s="36"/>
      <c r="I76" s="36"/>
      <c r="J76" s="36"/>
      <c r="K76" s="36"/>
      <c r="L76" s="36"/>
      <c r="M76" s="36"/>
      <c r="N76" s="36"/>
      <c r="O76" s="36"/>
      <c r="P76" s="36"/>
      <c r="Q76" s="36"/>
      <c r="R76" s="36"/>
    </row>
    <row r="77" spans="1:19" x14ac:dyDescent="0.25">
      <c r="A77" s="39" t="s">
        <v>525</v>
      </c>
      <c r="B77" s="21">
        <v>21167</v>
      </c>
      <c r="C77" s="40">
        <f>'Biomass Data Assumptions'!B41*B77</f>
        <v>677344</v>
      </c>
      <c r="D77" s="40">
        <f>(C77*'Biomass Data Assumptions'!C41)/2000</f>
        <v>20320.32</v>
      </c>
      <c r="E77" s="41"/>
      <c r="F77" s="41"/>
      <c r="G77" s="41"/>
      <c r="H77" s="36"/>
      <c r="I77" s="36"/>
      <c r="J77" s="36"/>
      <c r="K77" s="36"/>
      <c r="L77" s="36"/>
      <c r="M77" s="36"/>
      <c r="N77" s="36"/>
      <c r="O77" s="36"/>
      <c r="P77" s="36"/>
      <c r="Q77" s="36"/>
      <c r="R77" s="36"/>
    </row>
    <row r="78" spans="1:19" x14ac:dyDescent="0.25">
      <c r="A78" s="39" t="s">
        <v>522</v>
      </c>
      <c r="B78" s="21">
        <v>7206</v>
      </c>
      <c r="C78" s="40">
        <f>'Biomass Data Assumptions'!B42*B78</f>
        <v>389124</v>
      </c>
      <c r="D78" s="40">
        <f>(C78*'Biomass Data Assumptions'!C42)/2000</f>
        <v>11673.72</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877</v>
      </c>
      <c r="C81" s="40">
        <f>'Biomass Data Assumptions'!B49*B81</f>
        <v>877</v>
      </c>
      <c r="D81" s="40">
        <f>C81*'Energy Content Assumptions'!C11</f>
        <v>745.44999999999993</v>
      </c>
      <c r="E81" s="41"/>
      <c r="F81" s="41"/>
      <c r="G81" s="41"/>
      <c r="H81" s="36"/>
      <c r="I81" s="36"/>
      <c r="J81" s="36"/>
      <c r="K81" s="36"/>
      <c r="L81" s="36"/>
      <c r="M81" s="36"/>
      <c r="N81" s="36"/>
      <c r="O81" s="36"/>
      <c r="P81" s="36"/>
      <c r="Q81" s="36"/>
      <c r="R81" s="36"/>
    </row>
    <row r="82" spans="1:18" x14ac:dyDescent="0.25">
      <c r="A82" s="39" t="s">
        <v>520</v>
      </c>
      <c r="B82" s="21">
        <f>682+367</f>
        <v>1049</v>
      </c>
      <c r="C82" s="40">
        <f>'Biomass Data Assumptions'!B50*B82</f>
        <v>2360.25</v>
      </c>
      <c r="D82" s="40">
        <f>C82*'Energy Content Assumptions'!C12</f>
        <v>2006.2124999999999</v>
      </c>
      <c r="E82" s="41"/>
      <c r="F82" s="41"/>
      <c r="G82" s="41"/>
      <c r="H82" s="36"/>
      <c r="I82" s="36"/>
      <c r="J82" s="36"/>
      <c r="K82" s="36"/>
      <c r="L82" s="36"/>
      <c r="M82" s="36"/>
      <c r="N82" s="36"/>
      <c r="O82" s="36"/>
      <c r="P82" s="36"/>
      <c r="Q82" s="36"/>
      <c r="R82" s="36"/>
    </row>
    <row r="83" spans="1:18" x14ac:dyDescent="0.25">
      <c r="A83" s="39" t="s">
        <v>521</v>
      </c>
      <c r="B83" s="21">
        <f>13942</f>
        <v>13942</v>
      </c>
      <c r="C83" s="40">
        <f>'Biomass Data Assumptions'!B51*B83</f>
        <v>34855</v>
      </c>
      <c r="D83" s="40">
        <f>C83*'Energy Content Assumptions'!C13</f>
        <v>29626.75</v>
      </c>
      <c r="E83" s="41"/>
      <c r="F83" s="41"/>
      <c r="G83" s="41"/>
      <c r="H83" s="36"/>
      <c r="I83" s="36"/>
      <c r="J83" s="36"/>
      <c r="K83" s="36"/>
      <c r="L83" s="36"/>
      <c r="M83" s="36"/>
      <c r="N83" s="36"/>
      <c r="O83" s="36"/>
      <c r="P83" s="36"/>
      <c r="Q83" s="36"/>
      <c r="R83" s="36"/>
    </row>
    <row r="84" spans="1:18" x14ac:dyDescent="0.25">
      <c r="A84" s="39" t="s">
        <v>528</v>
      </c>
      <c r="B84" s="21">
        <v>2598</v>
      </c>
      <c r="C84" s="40">
        <f>'Biomass Data Assumptions'!B52*B84</f>
        <v>42607.199999999997</v>
      </c>
      <c r="D84" s="40">
        <f>C84*'Energy Content Assumptions'!C14</f>
        <v>14912.519999999999</v>
      </c>
      <c r="E84" s="41"/>
      <c r="F84" s="41"/>
      <c r="G84" s="41"/>
      <c r="H84" s="36"/>
      <c r="I84" s="36"/>
      <c r="J84" s="36"/>
      <c r="K84" s="36"/>
      <c r="L84" s="36"/>
      <c r="M84" s="36"/>
      <c r="N84" s="36"/>
      <c r="O84" s="36"/>
      <c r="P84" s="36"/>
      <c r="Q84" s="36"/>
      <c r="R84" s="36"/>
    </row>
    <row r="85" spans="1:18" x14ac:dyDescent="0.25">
      <c r="A85" s="39" t="s">
        <v>529</v>
      </c>
      <c r="B85" s="21">
        <v>4394</v>
      </c>
      <c r="C85" s="40">
        <f>'Biomass Data Assumptions'!B53*B85</f>
        <v>14060.800000000001</v>
      </c>
      <c r="D85" s="40">
        <f>C85*'Energy Content Assumptions'!C15</f>
        <v>11951.68</v>
      </c>
      <c r="E85" s="41"/>
      <c r="F85" s="41"/>
      <c r="G85" s="41"/>
      <c r="H85" s="36"/>
      <c r="I85" s="36"/>
      <c r="J85" s="36"/>
      <c r="K85" s="36"/>
      <c r="L85" s="36"/>
      <c r="M85" s="36"/>
      <c r="N85" s="36"/>
      <c r="O85" s="36"/>
      <c r="P85" s="36"/>
      <c r="Q85" s="36"/>
      <c r="R85" s="36"/>
    </row>
    <row r="86" spans="1:18" x14ac:dyDescent="0.25">
      <c r="A86" s="39" t="s">
        <v>530</v>
      </c>
      <c r="B86" s="21">
        <v>8302</v>
      </c>
      <c r="C86" s="40">
        <f>'Biomass Data Assumptions'!B54*B86</f>
        <v>14113.4</v>
      </c>
      <c r="D86" s="40">
        <f>C86*'Energy Content Assumptions'!C16</f>
        <v>11996.39</v>
      </c>
      <c r="E86" s="41"/>
      <c r="F86" s="41"/>
      <c r="G86" s="41"/>
      <c r="H86" s="36"/>
      <c r="I86" s="36"/>
      <c r="J86" s="36"/>
      <c r="K86" s="36"/>
      <c r="L86" s="36"/>
      <c r="M86" s="36"/>
      <c r="N86" s="36"/>
      <c r="O86" s="36"/>
      <c r="P86" s="36"/>
      <c r="Q86" s="36"/>
      <c r="R86" s="36"/>
    </row>
    <row r="87" spans="1:18" x14ac:dyDescent="0.25">
      <c r="A87" s="39" t="s">
        <v>522</v>
      </c>
      <c r="B87" s="21">
        <f>7206+136</f>
        <v>7342</v>
      </c>
      <c r="C87" s="40">
        <f>'Biomass Data Assumptions'!B55*B87</f>
        <v>12848.5</v>
      </c>
      <c r="D87" s="40">
        <f>C87*'Energy Content Assumptions'!C17</f>
        <v>10921.225</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3232</v>
      </c>
      <c r="C97" s="41">
        <f>ROUND('Biomass Data Assumptions'!$B$60/1000*B97,0)</f>
        <v>3232</v>
      </c>
      <c r="D97" s="41">
        <f>'Biomass Data Assumptions'!$C$60*C97</f>
        <v>108530560</v>
      </c>
      <c r="E97" s="41">
        <f>('Biomass Data Assumptions'!$D$60*'Energy Content Assumptions'!$C$44*D97)/2000</f>
        <v>1302.36672</v>
      </c>
      <c r="F97" s="41">
        <f>('Biomass Data Assumptions'!$E$60*B97*365)/2000</f>
        <v>2359.36</v>
      </c>
      <c r="G97" s="41">
        <f>F97+E97</f>
        <v>3661.7267200000001</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1599</v>
      </c>
      <c r="C100" s="41">
        <f>ROUND('Biomass Data Assumptions'!B62/1000*B100,0)</f>
        <v>560</v>
      </c>
      <c r="D100" s="41">
        <f>'Biomass Data Assumptions'!C62*C100</f>
        <v>16352000</v>
      </c>
      <c r="E100" s="41">
        <f>('Biomass Data Assumptions'!D62*'Energy Content Assumptions'!C46*D100)/2000</f>
        <v>735.84</v>
      </c>
      <c r="F100" s="41">
        <f>('Biomass Data Assumptions'!E62*B100*365)/2000</f>
        <v>1459.0875000000001</v>
      </c>
      <c r="G100" s="41">
        <f>F100+E100</f>
        <v>2194.9275000000002</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2144</v>
      </c>
      <c r="C102" s="41">
        <f>ROUND('Biomass Data Assumptions'!B64/1000*B102,0)</f>
        <v>3002</v>
      </c>
      <c r="D102" s="41">
        <f>'Biomass Data Assumptions'!C64*C102</f>
        <v>121626030</v>
      </c>
      <c r="E102" s="41">
        <f>('Biomass Data Assumptions'!D64*'Energy Content Assumptions'!C48*D102)/2000</f>
        <v>5473.1713499999996</v>
      </c>
      <c r="F102" s="41">
        <f>'Biomass Data Assumptions'!E64*B102*365/2000</f>
        <v>3912.8</v>
      </c>
      <c r="G102" s="41">
        <f>F102+E102</f>
        <v>9385.9713499999998</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f t="shared" ref="B104:G104" si="14">SUM(B100:B103)</f>
        <v>3743</v>
      </c>
      <c r="C104" s="41">
        <f t="shared" si="14"/>
        <v>3562</v>
      </c>
      <c r="D104" s="41">
        <f t="shared" si="14"/>
        <v>137978030</v>
      </c>
      <c r="E104" s="41">
        <f t="shared" si="14"/>
        <v>6209.0113499999998</v>
      </c>
      <c r="F104" s="41">
        <f t="shared" si="14"/>
        <v>5371.8875000000007</v>
      </c>
      <c r="G104" s="41">
        <f t="shared" si="14"/>
        <v>11580.89885</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2095</v>
      </c>
      <c r="C106" s="41">
        <f>ROUND('Biomass Data Assumptions'!B66/1000*B106,0)</f>
        <v>2095</v>
      </c>
      <c r="D106" s="41">
        <f>'Biomass Data Assumptions'!C66*C106</f>
        <v>42439462.5</v>
      </c>
      <c r="E106" s="41">
        <f>('Biomass Data Assumptions'!D66*'Energy Content Assumptions'!C50*D106)/2000</f>
        <v>1485.3811875000001</v>
      </c>
      <c r="F106" s="41">
        <f>'Biomass Data Assumptions'!E66*B106*365/2000</f>
        <v>5735.0625</v>
      </c>
      <c r="G106" s="41">
        <f>F106+E106</f>
        <v>7220.4436875000001</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870</v>
      </c>
      <c r="C108" s="41">
        <f>ROUND('Biomass Data Assumptions'!B67/1000*B108,0)</f>
        <v>87</v>
      </c>
      <c r="D108" s="41">
        <f>'Biomass Data Assumptions'!C67*C108</f>
        <v>1301955</v>
      </c>
      <c r="E108" s="41">
        <f>('Biomass Data Assumptions'!D67*'Energy Content Assumptions'!C51*D108)/2000</f>
        <v>32.548875000000002</v>
      </c>
      <c r="F108" s="41">
        <f>'Biomass Data Assumptions'!E67*B108*365/2000</f>
        <v>158.77500000000001</v>
      </c>
      <c r="G108" s="41">
        <f>F108+E108</f>
        <v>191.32387500000002</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1035</v>
      </c>
      <c r="C110" s="41">
        <f>ROUND('Biomass Data Assumptions'!B68/1000*B110,0)</f>
        <v>104</v>
      </c>
      <c r="D110" s="41">
        <f>'Biomass Data Assumptions'!C68*C110</f>
        <v>1556360</v>
      </c>
      <c r="E110" s="41">
        <f>('Biomass Data Assumptions'!D68*'Energy Content Assumptions'!C52*D110)/2000</f>
        <v>38.908999999999999</v>
      </c>
      <c r="F110" s="41">
        <f>'Biomass Data Assumptions'!E68*B110*365/2000</f>
        <v>188.88749999999999</v>
      </c>
      <c r="G110" s="41">
        <f>F110+E110</f>
        <v>227.79649999999998</v>
      </c>
      <c r="H110" s="36"/>
      <c r="I110" s="36"/>
      <c r="J110" s="41"/>
      <c r="K110" s="41"/>
      <c r="L110" s="41"/>
      <c r="M110" s="41"/>
      <c r="N110" s="36"/>
      <c r="O110" s="36"/>
      <c r="P110" s="36"/>
      <c r="Q110" s="36"/>
      <c r="R110" s="36"/>
    </row>
    <row r="111" spans="1:18" x14ac:dyDescent="0.25">
      <c r="A111" s="43"/>
      <c r="B111" s="41"/>
      <c r="C111" s="41"/>
      <c r="D111" s="41"/>
      <c r="E111" s="41"/>
      <c r="F111" s="41"/>
      <c r="G111" s="41"/>
      <c r="H111" s="36"/>
      <c r="I111" s="36"/>
      <c r="J111" s="41"/>
      <c r="K111" s="41"/>
      <c r="L111" s="41"/>
      <c r="M111" s="41"/>
      <c r="N111" s="36"/>
      <c r="O111" s="36"/>
      <c r="P111" s="36"/>
      <c r="Q111" s="36"/>
      <c r="R111" s="36"/>
    </row>
    <row r="112" spans="1:18" ht="0.75" customHeight="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457</v>
      </c>
      <c r="C115" s="41">
        <f>ROUND('Biomass Data Assumptions'!$B$71/1000*B115,0)</f>
        <v>183</v>
      </c>
      <c r="D115" s="41">
        <f>'Biomass Data Assumptions'!$C$71*C115</f>
        <v>3139365</v>
      </c>
      <c r="E115" s="41">
        <f>('Biomass Data Assumptions'!$D$71*'Energy Content Assumptions'!$C$55*D115)/2000</f>
        <v>78.484125000000006</v>
      </c>
      <c r="F115" s="41">
        <f>'Biomass Data Assumptions'!$E$71*B115*365/2000</f>
        <v>0</v>
      </c>
      <c r="G115" s="41">
        <f>F115+E115</f>
        <v>78.484125000000006</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1269+715+2780</f>
        <v>4764</v>
      </c>
      <c r="C117" s="41">
        <f>ROUND('Biomass Data Assumptions'!B72/1000*B117,0)</f>
        <v>24</v>
      </c>
      <c r="D117" s="41">
        <f>'Biomass Data Assumptions'!C72*C117</f>
        <v>438000</v>
      </c>
      <c r="E117" s="41">
        <f>('Biomass Data Assumptions'!D72*'Energy Content Assumptions'!C56*D117)/2000</f>
        <v>42.704999999999998</v>
      </c>
      <c r="F117" s="41">
        <f>'Biomass Data Assumptions'!E72*B117*365/2000</f>
        <v>0</v>
      </c>
      <c r="G117" s="41">
        <f>F117+E117</f>
        <v>42.704999999999998</v>
      </c>
      <c r="H117" s="150" t="s">
        <v>609</v>
      </c>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44</v>
      </c>
      <c r="C119" s="41">
        <f>ROUND('Biomass Data Assumptions'!B73/1000*B119,0)</f>
        <v>1</v>
      </c>
      <c r="D119" s="41">
        <f>'Biomass Data Assumptions'!C73*C119</f>
        <v>13505</v>
      </c>
      <c r="E119" s="41">
        <f>('Biomass Data Assumptions'!D73*'Energy Content Assumptions'!C57*D119)/2000</f>
        <v>1.26609375</v>
      </c>
      <c r="F119" s="41">
        <f>'Biomass Data Assumptions'!E73*B119*365/2000</f>
        <v>0.80300000000000016</v>
      </c>
      <c r="G119" s="41">
        <f>F119+E119</f>
        <v>2.0690937500000004</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5">B97+B104+B106+B108+B110+B115+B117+B119</f>
        <v>16240</v>
      </c>
      <c r="C121" s="48">
        <f t="shared" si="15"/>
        <v>9288</v>
      </c>
      <c r="D121" s="48">
        <f t="shared" si="15"/>
        <v>295397237.5</v>
      </c>
      <c r="E121" s="48">
        <f t="shared" si="15"/>
        <v>9190.6723512500012</v>
      </c>
      <c r="F121" s="48">
        <f t="shared" si="15"/>
        <v>13814.775500000002</v>
      </c>
      <c r="G121" s="48">
        <f t="shared" si="15"/>
        <v>23005.447851249999</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4231.66</v>
      </c>
      <c r="C124" s="543">
        <f>B124*'Energy Content Assumptions'!C33</f>
        <v>3808.4940000000001</v>
      </c>
      <c r="D124" s="36"/>
      <c r="E124" s="36"/>
      <c r="F124" s="36"/>
      <c r="G124" s="36"/>
      <c r="H124" s="36"/>
      <c r="I124" s="36"/>
      <c r="J124" s="36"/>
      <c r="K124" s="36"/>
      <c r="L124" s="36"/>
      <c r="M124" s="36"/>
      <c r="N124" s="36"/>
      <c r="O124" s="36"/>
      <c r="P124" s="36"/>
      <c r="Q124" s="36"/>
      <c r="R124" s="36"/>
    </row>
    <row r="125" spans="1:18" x14ac:dyDescent="0.25">
      <c r="A125" s="50" t="s">
        <v>556</v>
      </c>
      <c r="B125" s="87">
        <v>745.19</v>
      </c>
      <c r="C125" s="543">
        <f>B125*'Energy Content Assumptions'!C34</f>
        <v>670.67100000000005</v>
      </c>
      <c r="D125" s="36"/>
      <c r="E125" s="36"/>
      <c r="F125" s="36"/>
      <c r="G125" s="36"/>
      <c r="H125" s="36"/>
      <c r="I125" s="36"/>
      <c r="J125" s="36"/>
      <c r="K125" s="36"/>
      <c r="L125" s="36"/>
      <c r="M125" s="36"/>
      <c r="N125" s="36"/>
      <c r="O125" s="36"/>
      <c r="P125" s="36"/>
      <c r="Q125" s="36"/>
      <c r="R125" s="36"/>
    </row>
    <row r="126" spans="1:18" x14ac:dyDescent="0.25">
      <c r="A126" s="50" t="s">
        <v>557</v>
      </c>
      <c r="B126" s="87">
        <v>1717.03</v>
      </c>
      <c r="C126" s="543">
        <f>B126*'Energy Content Assumptions'!C35</f>
        <v>1545.327</v>
      </c>
      <c r="D126" s="36"/>
      <c r="E126" s="36"/>
      <c r="F126" s="36"/>
      <c r="G126" s="36"/>
      <c r="H126" s="36"/>
      <c r="I126" s="36"/>
      <c r="J126" s="36"/>
      <c r="K126" s="36"/>
      <c r="L126" s="36"/>
      <c r="M126" s="36"/>
      <c r="N126" s="36"/>
      <c r="O126" s="36"/>
      <c r="P126" s="36"/>
      <c r="Q126" s="36"/>
      <c r="R126" s="36"/>
    </row>
    <row r="127" spans="1:18" x14ac:dyDescent="0.25">
      <c r="A127" s="50" t="s">
        <v>558</v>
      </c>
      <c r="B127" s="87">
        <v>986.82</v>
      </c>
      <c r="C127" s="543">
        <f>B127*'Energy Content Assumptions'!C36</f>
        <v>888.13800000000003</v>
      </c>
      <c r="D127" s="36"/>
      <c r="E127" s="36"/>
      <c r="F127" s="36"/>
      <c r="G127" s="36"/>
      <c r="H127" s="36"/>
      <c r="I127" s="36"/>
      <c r="J127" s="36"/>
      <c r="K127" s="36"/>
      <c r="L127" s="36"/>
      <c r="M127" s="36"/>
      <c r="N127" s="36"/>
      <c r="O127" s="36"/>
      <c r="P127" s="36"/>
      <c r="Q127" s="36"/>
      <c r="R127" s="36"/>
    </row>
    <row r="128" spans="1:18" x14ac:dyDescent="0.25">
      <c r="A128" s="50" t="s">
        <v>559</v>
      </c>
      <c r="B128" s="87">
        <v>6614.45</v>
      </c>
      <c r="C128" s="543">
        <f>B128*'Energy Content Assumptions'!C21</f>
        <v>3307.2249999999999</v>
      </c>
      <c r="D128" s="36"/>
      <c r="E128" s="36"/>
      <c r="F128" s="36"/>
      <c r="G128" s="36"/>
      <c r="H128" s="36"/>
      <c r="I128" s="36"/>
      <c r="J128" s="36"/>
      <c r="K128" s="36"/>
      <c r="L128" s="36"/>
      <c r="M128" s="36"/>
      <c r="N128" s="36"/>
      <c r="O128" s="36"/>
      <c r="P128" s="36"/>
      <c r="Q128" s="36"/>
      <c r="R128" s="36"/>
    </row>
    <row r="129" spans="1:18" x14ac:dyDescent="0.25">
      <c r="A129" s="50" t="s">
        <v>560</v>
      </c>
      <c r="B129" s="87">
        <v>430</v>
      </c>
      <c r="C129" s="543">
        <f>B129*'Energy Content Assumptions'!C22</f>
        <v>143.33333333333331</v>
      </c>
      <c r="D129" s="36"/>
      <c r="E129" s="36"/>
      <c r="F129" s="36"/>
      <c r="G129" s="36"/>
      <c r="H129" s="36"/>
      <c r="I129" s="36"/>
      <c r="J129" s="36"/>
      <c r="K129" s="36"/>
      <c r="L129" s="36"/>
      <c r="M129" s="36"/>
      <c r="N129" s="36"/>
      <c r="O129" s="36"/>
      <c r="P129" s="36"/>
      <c r="Q129" s="36"/>
      <c r="R129" s="36"/>
    </row>
    <row r="130" spans="1:18" x14ac:dyDescent="0.25">
      <c r="A130" s="50" t="s">
        <v>561</v>
      </c>
      <c r="B130" s="87">
        <v>1836.41</v>
      </c>
      <c r="C130" s="543">
        <f>B130*'Energy Content Assumptions'!C23</f>
        <v>612.13666666666666</v>
      </c>
      <c r="D130" s="36"/>
      <c r="E130" s="36"/>
      <c r="F130" s="36"/>
      <c r="G130" s="36"/>
      <c r="H130" s="36"/>
      <c r="I130" s="36"/>
      <c r="J130" s="36"/>
      <c r="K130" s="36"/>
      <c r="L130" s="36"/>
      <c r="M130" s="36"/>
      <c r="N130" s="36"/>
      <c r="O130" s="36"/>
      <c r="P130" s="36"/>
      <c r="Q130" s="36"/>
      <c r="R130" s="36"/>
    </row>
    <row r="131" spans="1:18" x14ac:dyDescent="0.25">
      <c r="A131" s="50" t="s">
        <v>562</v>
      </c>
      <c r="B131" s="87">
        <v>131.02000000000001</v>
      </c>
      <c r="C131" s="543">
        <f>B131*'Energy Content Assumptions'!C24</f>
        <v>65.510000000000005</v>
      </c>
      <c r="D131" s="36"/>
      <c r="E131" s="36"/>
      <c r="F131" s="36"/>
      <c r="G131" s="36"/>
      <c r="H131" s="36"/>
      <c r="I131" s="36"/>
      <c r="J131" s="36"/>
      <c r="K131" s="36"/>
      <c r="L131" s="36"/>
      <c r="M131" s="36"/>
      <c r="N131" s="36"/>
      <c r="O131" s="36"/>
      <c r="P131" s="36"/>
      <c r="Q131" s="36"/>
      <c r="R131" s="36"/>
    </row>
    <row r="132" spans="1:18" x14ac:dyDescent="0.25">
      <c r="A132" s="50" t="s">
        <v>563</v>
      </c>
      <c r="B132" s="87">
        <v>18.57</v>
      </c>
      <c r="C132" s="543">
        <f>B132*'Energy Content Assumptions'!C31</f>
        <v>4.6425000000000001</v>
      </c>
      <c r="D132" s="36"/>
      <c r="E132" s="36"/>
      <c r="F132" s="36"/>
      <c r="G132" s="36"/>
      <c r="H132" s="36"/>
      <c r="I132" s="36"/>
      <c r="J132" s="36"/>
      <c r="K132" s="36"/>
      <c r="L132" s="36"/>
      <c r="M132" s="36"/>
      <c r="N132" s="36"/>
      <c r="O132" s="36"/>
      <c r="P132" s="36"/>
      <c r="Q132" s="36"/>
      <c r="R132" s="36"/>
    </row>
    <row r="133" spans="1:18" x14ac:dyDescent="0.25">
      <c r="A133" s="50" t="s">
        <v>564</v>
      </c>
      <c r="B133" s="87">
        <v>193.96</v>
      </c>
      <c r="C133" s="543">
        <f>B133*'Energy Content Assumptions'!C19</f>
        <v>174.56400000000002</v>
      </c>
      <c r="D133" s="36"/>
      <c r="E133" s="36"/>
      <c r="F133" s="36"/>
      <c r="G133" s="36"/>
      <c r="H133" s="36"/>
      <c r="I133" s="36"/>
      <c r="J133" s="36"/>
      <c r="K133" s="36"/>
      <c r="L133" s="36"/>
      <c r="M133" s="36"/>
      <c r="N133" s="36"/>
      <c r="O133" s="36"/>
      <c r="P133" s="36"/>
      <c r="Q133" s="36"/>
      <c r="R133" s="36"/>
    </row>
    <row r="134" spans="1:18" x14ac:dyDescent="0.25">
      <c r="A134" s="50" t="s">
        <v>565</v>
      </c>
      <c r="B134" s="87">
        <v>736.55</v>
      </c>
      <c r="C134" s="543">
        <f>B134*'Energy Content Assumptions'!C32</f>
        <v>589.24</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Assumptions'!$M$23</f>
        <v>66914.11</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Assumptions'!$F$23</f>
        <v>40153.760000000002</v>
      </c>
      <c r="C138" s="543">
        <f>B138*'Energy Content Assumptions'!$C$28</f>
        <v>20076.88</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Assumptions'!$H$23</f>
        <v>113.7</v>
      </c>
      <c r="C139" s="543"/>
      <c r="D139" s="150"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Assumptions'!$I$23</f>
        <v>40040.060000000005</v>
      </c>
      <c r="C140" s="543">
        <f>B140*'Energy Content Assumptions'!$C$28</f>
        <v>20020.030000000002</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Assumptions'!J23,'Biomass Data Assumptions'!F23*'Biomass Data Assumptions'!I41)</f>
        <v>6334.3374920000015</v>
      </c>
      <c r="C141" s="543">
        <f>B141*'Energy Content Assumptions'!C26</f>
        <v>1900.3012476000004</v>
      </c>
      <c r="D141" s="36"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Assumptions'!K23,'Biomass Data Assumptions'!F23*'Biomass Data Assumptions'!I42)</f>
        <v>7787.7916700000014</v>
      </c>
      <c r="C142" s="543">
        <f>B142*'Energy Content Assumptions'!C27</f>
        <v>7009.0125030000017</v>
      </c>
      <c r="D142" s="36"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Assumptions'!L23,'Biomass Data Assumptions'!F23*'Biomass Data Assumptions'!I43)</f>
        <v>10782.788158000001</v>
      </c>
      <c r="C143" s="543">
        <f>B143*'Energy Content Assumptions'!$C$28</f>
        <v>5391.3940790000006</v>
      </c>
      <c r="D143" s="546" t="s">
        <v>1064</v>
      </c>
      <c r="E143" s="36"/>
      <c r="F143" s="36"/>
      <c r="G143" s="36"/>
      <c r="H143" s="36"/>
      <c r="I143" s="36"/>
      <c r="J143" s="36"/>
      <c r="K143" s="36"/>
      <c r="L143" s="36"/>
      <c r="M143" s="36"/>
      <c r="N143" s="36"/>
      <c r="O143" s="36"/>
      <c r="P143" s="36"/>
      <c r="Q143" s="36"/>
      <c r="R143" s="36"/>
    </row>
    <row r="144" spans="1:18" x14ac:dyDescent="0.25">
      <c r="A144" s="50" t="s">
        <v>463</v>
      </c>
      <c r="B144" s="87">
        <v>7748.68</v>
      </c>
      <c r="C144" s="543">
        <f>B144*'Energy Content Assumptions'!C29</f>
        <v>6198.9440000000004</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2479.5776000000005</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Assumptions'!R23/2000</f>
        <v>290.76519999999999</v>
      </c>
      <c r="C148" s="1239">
        <f>B148*'Energy Content Assumptions'!C39</f>
        <v>247.15042</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Assumptions'!S23/2000</f>
        <v>441.76485499999995</v>
      </c>
      <c r="C149" s="1239">
        <f>B149*'Energy Content Assumptions'!C40</f>
        <v>22.088242749999999</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199"/>
  <sheetViews>
    <sheetView topLeftCell="A121"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574</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2012</v>
      </c>
      <c r="F4" s="22">
        <v>2015</v>
      </c>
      <c r="G4" s="22">
        <v>2020</v>
      </c>
      <c r="H4" s="22">
        <v>2025</v>
      </c>
      <c r="I4" s="22">
        <v>2012</v>
      </c>
      <c r="J4" s="22">
        <v>2015</v>
      </c>
      <c r="K4" s="22">
        <v>2020</v>
      </c>
      <c r="L4" s="22">
        <v>2025</v>
      </c>
      <c r="M4" s="22">
        <v>2012</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191.982</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450.23160000000001</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5526.5</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1919.7</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8088.4135999999999</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18.7</v>
      </c>
      <c r="D15" s="294">
        <f>E15*'Conversion Tables'!C14</f>
        <v>235.35072</v>
      </c>
      <c r="E15" s="294">
        <f>C15*'Prac. Rec. Assumptions'!B11</f>
        <v>14.96</v>
      </c>
      <c r="F15" s="294">
        <f>$E15</f>
        <v>14.96</v>
      </c>
      <c r="G15" s="294">
        <f>$E15</f>
        <v>14.96</v>
      </c>
      <c r="H15" s="294">
        <f>$E15</f>
        <v>14.96</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1180.0125</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3355.375</v>
      </c>
      <c r="D17" s="294">
        <f>E17*'Conversion Tables'!C16</f>
        <v>44868.745574999994</v>
      </c>
      <c r="E17" s="294">
        <f>C17*'Prac. Rec. Assumptions'!B13</f>
        <v>2852.0687499999999</v>
      </c>
      <c r="F17" s="294">
        <f t="shared" si="2"/>
        <v>2852.0687499999999</v>
      </c>
      <c r="G17" s="294">
        <f t="shared" si="2"/>
        <v>2852.0687499999999</v>
      </c>
      <c r="H17" s="294">
        <f t="shared" si="2"/>
        <v>2852.0687499999999</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1693.3</v>
      </c>
      <c r="D18" s="294">
        <f>E18*'Conversion Tables'!C17</f>
        <v>19979.246699999996</v>
      </c>
      <c r="E18" s="294">
        <f>C18*'Prac. Rec. Assumptions'!B14</f>
        <v>1269.9749999999999</v>
      </c>
      <c r="F18" s="294">
        <f t="shared" si="2"/>
        <v>1269.9749999999999</v>
      </c>
      <c r="G18" s="294">
        <f t="shared" si="2"/>
        <v>1269.9749999999999</v>
      </c>
      <c r="H18" s="294">
        <f t="shared" si="2"/>
        <v>1269.9749999999999</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4909.5999999999995</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12536.819999999998</v>
      </c>
      <c r="D20" s="294">
        <f>E20*'Conversion Tables'!C19</f>
        <v>97787.195999999982</v>
      </c>
      <c r="E20" s="294">
        <f>C20*'Prac. Rec. Assumptions'!B16</f>
        <v>6268.4099999999989</v>
      </c>
      <c r="F20" s="294">
        <f t="shared" si="2"/>
        <v>6268.4099999999989</v>
      </c>
      <c r="G20" s="294">
        <f t="shared" si="2"/>
        <v>6268.4099999999989</v>
      </c>
      <c r="H20" s="294">
        <f t="shared" si="2"/>
        <v>6268.4099999999989</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1658.5625</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Assumptions'!P24*1000*'Energy Content Assumptions'!C18</f>
        <v>17952</v>
      </c>
      <c r="D22" s="294">
        <f>E22*'Conversion Tables'!C21</f>
        <v>140025.60000000001</v>
      </c>
      <c r="E22" s="294">
        <f>C22*'Prac. Rec. Assumptions'!B18</f>
        <v>8976</v>
      </c>
      <c r="F22" s="294">
        <f t="shared" si="2"/>
        <v>8976</v>
      </c>
      <c r="G22" s="294">
        <f t="shared" si="2"/>
        <v>8976</v>
      </c>
      <c r="H22" s="294">
        <f t="shared" si="2"/>
        <v>8976</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11.46</v>
      </c>
      <c r="D23" s="294">
        <f>E23*'Conversion Tables'!C22</f>
        <v>187.21055999999999</v>
      </c>
      <c r="E23" s="294">
        <f>C23*'Prac. Rec. Assumptions'!B19</f>
        <v>11.46</v>
      </c>
      <c r="F23" s="297">
        <f t="shared" si="2"/>
        <v>11.46</v>
      </c>
      <c r="G23" s="297">
        <f t="shared" si="2"/>
        <v>11.46</v>
      </c>
      <c r="H23" s="297">
        <f t="shared" si="2"/>
        <v>11.46</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4519.46</v>
      </c>
      <c r="D25" s="294">
        <f>E25*'Conversion Tables'!C24</f>
        <v>79994.441999999995</v>
      </c>
      <c r="E25" s="294">
        <f>C25*'Prac. Rec. Assumptions'!B21</f>
        <v>4519.46</v>
      </c>
      <c r="F25" s="294">
        <f>($C25*(1+'Biomass Data Assumptions'!G$109))*'Prac. Rec. Assumptions'!$B21</f>
        <v>4691.4567759900992</v>
      </c>
      <c r="G25" s="294">
        <f>($C25*(1+'Biomass Data Assumptions'!H$109))*'Prac. Rec. Assumptions'!$B21</f>
        <v>4919.3874628712865</v>
      </c>
      <c r="H25" s="294">
        <f>($C25*(1+'Biomass Data Assumptions'!I$109))*'Prac. Rec. Assumptions'!$B21</f>
        <v>5089.985891089108</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205.23333333333335</v>
      </c>
      <c r="D26" s="294">
        <f>E26*'Conversion Tables'!C25</f>
        <v>3201.6400000000003</v>
      </c>
      <c r="E26" s="294">
        <f>C26*'Prac. Rec. Assumptions'!B22</f>
        <v>205.23333333333335</v>
      </c>
      <c r="F26" s="294">
        <f>($C26*(1+'Biomass Data Assumptions'!G$109))*'Prac. Rec. Assumptions'!$B22</f>
        <v>213.04388407590761</v>
      </c>
      <c r="G26" s="294">
        <f>($C26*(1+'Biomass Data Assumptions'!H$109))*'Prac. Rec. Assumptions'!$B22</f>
        <v>223.39445132013202</v>
      </c>
      <c r="H26" s="294">
        <f>($C26*(1+'Biomass Data Assumptions'!I$109))*'Prac. Rec. Assumptions'!$B22</f>
        <v>231.141501650165</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2692.3566666666666</v>
      </c>
      <c r="D27" s="294">
        <f>E27*'Conversion Tables'!C26</f>
        <v>42000.763999999996</v>
      </c>
      <c r="E27" s="294">
        <f>C27*'Prac. Rec. Assumptions'!B23</f>
        <v>2692.3566666666666</v>
      </c>
      <c r="F27" s="294">
        <f>($C27*(1+'Biomass Data Assumptions'!G$109))*'Prac. Rec. Assumptions'!$B23</f>
        <v>2794.8194977310231</v>
      </c>
      <c r="G27" s="294">
        <f>($C27*(1+'Biomass Data Assumptions'!H$109))*'Prac. Rec. Assumptions'!$B23</f>
        <v>2930.6035746699667</v>
      </c>
      <c r="H27" s="294">
        <f>($C27*(1+'Biomass Data Assumptions'!I$109))*'Prac. Rec. Assumptions'!$B23</f>
        <v>3032.2333745874585</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266.35500000000002</v>
      </c>
      <c r="D28" s="294">
        <f>E28*'Conversion Tables'!C27</f>
        <v>4714.4835000000003</v>
      </c>
      <c r="E28" s="294">
        <f>C28*'Prac. Rec. Assumptions'!B24</f>
        <v>266.35500000000002</v>
      </c>
      <c r="F28" s="294">
        <f>($C28*(1+'Biomass Data Assumptions'!G$109))*'Prac. Rec. Assumptions'!$B24</f>
        <v>276.49165377475254</v>
      </c>
      <c r="G28" s="294">
        <f>($C28*(1+'Biomass Data Assumptions'!H$109))*'Prac. Rec. Assumptions'!$B24</f>
        <v>289.92478032178218</v>
      </c>
      <c r="H28" s="294">
        <f>($C28*(1+'Biomass Data Assumptions'!I$109))*'Prac. Rec. Assumptions'!$B24</f>
        <v>299.97902227722773</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50999.234999999993</v>
      </c>
      <c r="D29" s="295">
        <f>SUM(D13:D28)</f>
        <v>432994.67905499996</v>
      </c>
      <c r="E29" s="295">
        <f t="shared" si="3"/>
        <v>27076.278749999998</v>
      </c>
      <c r="F29" s="295">
        <f>SUM(F13:F28)</f>
        <v>27368.685561571783</v>
      </c>
      <c r="G29" s="295">
        <f>SUM(G13:G28)</f>
        <v>27756.184019183165</v>
      </c>
      <c r="H29" s="295">
        <f>SUM(H13:H28)</f>
        <v>28046.213539603959</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9471.3012701999996</v>
      </c>
      <c r="D32" s="294">
        <f>E32*'Conversion Tables'!C29</f>
        <v>90924.492193920014</v>
      </c>
      <c r="E32" s="294">
        <f>C32*'Prac. Rec. Assumptions'!B26</f>
        <v>5682.7807621200009</v>
      </c>
      <c r="F32" s="294">
        <f>($C32*(1+'Biomass Data Assumptions'!G$109)*(1+'Biomass Data Assumptions'!C$82))*'Prac. Rec. Assumptions'!$B26</f>
        <v>5895.0446217010458</v>
      </c>
      <c r="G32" s="294">
        <f>($C32*(1+'Biomass Data Assumptions'!H$109)*(1+'Biomass Data Assumptions'!D$82))*'Prac. Rec. Assumptions'!$B26</f>
        <v>6177.2535861038768</v>
      </c>
      <c r="H32" s="294">
        <f>($C32*(1+'Biomass Data Assumptions'!I$109)*(1+'Biomass Data Assumptions'!E$82))*'Prac. Rec. Assumptions'!$B26</f>
        <v>6387.133616074123</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34933.6554435</v>
      </c>
      <c r="D33" s="294">
        <f>E33*'Conversion Tables'!C30</f>
        <v>405845.23548040562</v>
      </c>
      <c r="E33" s="294">
        <f>C33*'Prac. Rec. Assumptions'!B27</f>
        <v>27946.924354800001</v>
      </c>
      <c r="F33" s="294">
        <f>($C33*(1+'Biomass Data Assumptions'!G$109)*(1+'Biomass Data Assumptions'!C$82))*'Prac. Rec. Assumptions'!$B27</f>
        <v>28990.800984092373</v>
      </c>
      <c r="G33" s="294">
        <f>($C33*(1+'Biomass Data Assumptions'!H$109)*(1+'Biomass Data Assumptions'!D$82))*'Prac. Rec. Assumptions'!$B27</f>
        <v>30378.655436086068</v>
      </c>
      <c r="H33" s="294">
        <f>($C33*(1+'Biomass Data Assumptions'!I$109)*(1+'Biomass Data Assumptions'!E$82))*'Prac. Rec. Assumptions'!$B27</f>
        <v>31410.80880724189</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26871.275095499997</v>
      </c>
      <c r="D34" s="294">
        <f>E34*'Conversion Tables'!C31</f>
        <v>280961.7529945327</v>
      </c>
      <c r="E34" s="294">
        <f>C34*'Prac. Rec. Assumptions'!B28</f>
        <v>19347.31806876</v>
      </c>
      <c r="F34" s="294">
        <f>($C34*(1+'Biomass Data Assumptions'!G$109)*(1+'Biomass Data Assumptions'!C$82))*'Prac. Rec. Assumptions'!$B28</f>
        <v>20069.98124682796</v>
      </c>
      <c r="G34" s="294">
        <f>($C34*(1+'Biomass Data Assumptions'!H$109)*(1+'Biomass Data Assumptions'!D$82))*'Prac. Rec. Assumptions'!$B28</f>
        <v>21030.776115521792</v>
      </c>
      <c r="H34" s="294">
        <f>($C34*(1+'Biomass Data Assumptions'!I$109)*(1+'Biomass Data Assumptions'!E$82))*'Prac. Rec. Assumptions'!$B28</f>
        <v>21745.323423625297</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33212.150400000006</v>
      </c>
      <c r="D35" s="294">
        <f>E35*'Conversion Tables'!C32</f>
        <v>376227.23973120016</v>
      </c>
      <c r="E35" s="294">
        <f>C35*'Prac. Rec. Assumptions'!B29</f>
        <v>21255.776256000008</v>
      </c>
      <c r="F35" s="294">
        <f>($C35*(1+'Biomass Data Assumptions'!G$109)*(1+'Biomass Data Assumptions'!C$83))*'Prac. Rec. Assumptions'!$B29</f>
        <v>23172.598862223393</v>
      </c>
      <c r="G35" s="294">
        <f>($C35*(1+'Biomass Data Assumptions'!H$109)*(1+'Biomass Data Assumptions'!D$83))*'Prac. Rec. Assumptions'!$B29</f>
        <v>25518.471388664948</v>
      </c>
      <c r="H35" s="294">
        <f>($C35*(1+'Biomass Data Assumptions'!I$109)*(1+'Biomass Data Assumptions'!E$83))*'Prac. Rec. Assumptions'!$B29</f>
        <v>27729.16586458325</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215.51</v>
      </c>
      <c r="D37" s="294">
        <f>E37*'Conversion Tables'!C34</f>
        <v>3448.16</v>
      </c>
      <c r="E37" s="294">
        <f>C37*'Prac. Rec. Assumptions'!B31</f>
        <v>215.51</v>
      </c>
      <c r="F37" s="294">
        <f>($C37*(1+'Biomass Data Assumptions'!G$109)*(1+'Biomass Data Assumptions'!C$84))*'Prac. Rec. Assumptions'!$B31</f>
        <v>244.62336067639205</v>
      </c>
      <c r="G37" s="294">
        <f>($C37*(1+'Biomass Data Assumptions'!H$109)*(1+'Biomass Data Assumptions'!D$84))*'Prac. Rec. Assumptions'!$B31</f>
        <v>280.48559883332024</v>
      </c>
      <c r="H37" s="294">
        <f>($C37*(1+'Biomass Data Assumptions'!I$109)*(1+'Biomass Data Assumptions'!E$84))*'Prac. Rec. Assumptions'!$B31</f>
        <v>317.34045887078196</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4694.2240000000002</v>
      </c>
      <c r="D38" s="294">
        <f>E38*'Conversion Tables'!C35</f>
        <v>41543.882400000002</v>
      </c>
      <c r="E38" s="294">
        <f>C38*'Prac. Rec. Assumptions'!B32</f>
        <v>2347.1120000000001</v>
      </c>
      <c r="F38" s="294">
        <f>($C38*(1+'Biomass Data Assumptions'!G$109)*(1+'Biomass Data Assumptions'!C$84))*'Prac. Rec. Assumptions'!$B32</f>
        <v>2664.1846101057399</v>
      </c>
      <c r="G38" s="294">
        <f>($C38*(1+'Biomass Data Assumptions'!H$109)*(1+'Biomass Data Assumptions'!D$84))*'Prac. Rec. Assumptions'!$B32</f>
        <v>3054.7590128015968</v>
      </c>
      <c r="H38" s="294">
        <f>($C38*(1+'Biomass Data Assumptions'!I$109)*(1+'Biomass Data Assumptions'!E$84))*'Prac. Rec. Assumptions'!$B32</f>
        <v>3456.1440262684741</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18564.48</v>
      </c>
      <c r="D39" s="299">
        <f>E39*'Conversion Tables'!C36</f>
        <v>0</v>
      </c>
      <c r="E39" s="299">
        <f>C39*'Prac. Rec. Assumptions'!B33</f>
        <v>0</v>
      </c>
      <c r="F39" s="294">
        <f>($C39*(1+'Biomass Data Assumptions'!G$109)*(1+'Biomass Data Assumptions'!C$84))*'Prac. Rec. Assumptions'!$B33</f>
        <v>0</v>
      </c>
      <c r="G39" s="294">
        <f>($C39*(1+'Biomass Data Assumptions'!H$109)*(1+'Biomass Data Assumptions'!D$84))*'Prac. Rec. Assumptions'!$B33</f>
        <v>0</v>
      </c>
      <c r="H39" s="294">
        <f>($C39*(1+'Biomass Data Assumptions'!I$109)*(1+'Biomass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3352.0140000000001</v>
      </c>
      <c r="D40" s="299">
        <f>E40*'Conversion Tables'!C37</f>
        <v>0</v>
      </c>
      <c r="E40" s="299">
        <f>C40*'Prac. Rec. Assumptions'!B34</f>
        <v>0</v>
      </c>
      <c r="F40" s="294">
        <f>($C40*(1+'Biomass Data Assumptions'!G$109)*(1+'Biomass Data Assumptions'!C$84))*'Prac. Rec. Assumptions'!$B34</f>
        <v>0</v>
      </c>
      <c r="G40" s="294">
        <f>($C40*(1+'Biomass Data Assumptions'!H$109)*(1+'Biomass Data Assumptions'!D$84))*'Prac. Rec. Assumptions'!$B34</f>
        <v>0</v>
      </c>
      <c r="H40" s="294">
        <f>($C40*(1+'Biomass Data Assumptions'!I$109)*(1+'Biomass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15975.198000000002</v>
      </c>
      <c r="D41" s="299">
        <f>E41*'Conversion Tables'!C38</f>
        <v>0</v>
      </c>
      <c r="E41" s="299">
        <f>C41*'Prac. Rec. Assumptions'!B35</f>
        <v>0</v>
      </c>
      <c r="F41" s="294">
        <f>($C41*(1+'Biomass Data Assumptions'!G$109)*(1+'Biomass Data Assumptions'!C$84))*'Prac. Rec. Assumptions'!$B35</f>
        <v>0</v>
      </c>
      <c r="G41" s="294">
        <f>($C41*(1+'Biomass Data Assumptions'!H$109)*(1+'Biomass Data Assumptions'!D$84))*'Prac. Rec. Assumptions'!$B35</f>
        <v>0</v>
      </c>
      <c r="H41" s="294">
        <f>($C41*(1+'Biomass Data Assumptions'!I$109)*(1+'Biomass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3471.741</v>
      </c>
      <c r="D42" s="299">
        <f>E42*'Conversion Tables'!C39</f>
        <v>50416.622801999998</v>
      </c>
      <c r="E42" s="299">
        <f>C42*'Prac. Rec. Assumptions'!B36</f>
        <v>3471.741</v>
      </c>
      <c r="F42" s="294">
        <f>($C42*(1+'Biomass Data Assumptions'!G$109)*(1+'Biomass Data Assumptions'!C$84))*'Prac. Rec. Assumptions'!$B36</f>
        <v>3940.74034067105</v>
      </c>
      <c r="G42" s="294">
        <f>($C42*(1+'Biomass Data Assumptions'!H$109)*(1+'Biomass Data Assumptions'!D$84))*'Prac. Rec. Assumptions'!$B36</f>
        <v>4518.4601799414886</v>
      </c>
      <c r="H42" s="294">
        <f>($C42*(1+'Biomass Data Assumptions'!I$109)*(1+'Biomass Data Assumptions'!E$84))*'Prac. Rec. Assumptions'!$B36</f>
        <v>5112.1705815066925</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150761.54920920002</v>
      </c>
      <c r="D43" s="295">
        <f t="shared" si="4"/>
        <v>1249367.3856020586</v>
      </c>
      <c r="E43" s="295">
        <f t="shared" si="4"/>
        <v>80267.16244167999</v>
      </c>
      <c r="F43" s="295">
        <f t="shared" si="4"/>
        <v>84977.974026297961</v>
      </c>
      <c r="G43" s="295">
        <f t="shared" si="4"/>
        <v>90958.861317953095</v>
      </c>
      <c r="H43" s="295">
        <f t="shared" si="4"/>
        <v>96158.086778170502</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1092.48</v>
      </c>
      <c r="D46" s="294">
        <f>E46*'Conversion Tables'!C41</f>
        <v>0</v>
      </c>
      <c r="E46" s="294">
        <f>C46*'Prac. Rec. Assumptions'!B38</f>
        <v>1092.48</v>
      </c>
      <c r="F46" s="294">
        <f>$E46</f>
        <v>1092.48</v>
      </c>
      <c r="G46" s="294">
        <f>$E46</f>
        <v>1092.48</v>
      </c>
      <c r="H46" s="294">
        <f>$E46</f>
        <v>1092.48</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1209.68056</v>
      </c>
      <c r="D47" s="294"/>
      <c r="E47" s="294">
        <f>C47*'Prac. Rec. Assumptions'!B39</f>
        <v>604.84028000000001</v>
      </c>
      <c r="F47" s="294">
        <f>($C47*(1+'Biomass Data Assumptions'!G$109))*'Prac. Rec. Assumptions'!$B39</f>
        <v>627.85864461633673</v>
      </c>
      <c r="G47" s="294">
        <f>($C47*(1+'Biomass Data Assumptions'!H$109))*'Prac. Rec. Assumptions'!$B39</f>
        <v>658.36265626237616</v>
      </c>
      <c r="H47" s="294">
        <f>($C47*(1+'Biomass Data Assumptions'!I$109))*'Prac. Rec. Assumptions'!$B39</f>
        <v>681.19387970297021</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108.11115699999999</v>
      </c>
      <c r="D48" s="294"/>
      <c r="E48" s="294">
        <f>C48*'Prac. Rec. Assumptions'!B40</f>
        <v>108.11115699999999</v>
      </c>
      <c r="F48" s="294">
        <f>($C48*(1+'Biomass Data Assumptions'!G$109))*'Prac. Rec. Assumptions'!$B40</f>
        <v>112.22553580909653</v>
      </c>
      <c r="G48" s="294">
        <f>($C48*(1+'Biomass Data Assumptions'!H$109))*'Prac. Rec. Assumptions'!$B40</f>
        <v>117.67792398700493</v>
      </c>
      <c r="H48" s="294">
        <f>($C48*(1+'Biomass Data Assumptions'!I$109))*'Prac. Rec. Assumptions'!$B40</f>
        <v>121.75885256188117</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2410.2717170000001</v>
      </c>
      <c r="D49" s="295">
        <f>SUM(D45:D48)</f>
        <v>0</v>
      </c>
      <c r="E49" s="295">
        <f t="shared" si="6"/>
        <v>1805.431437</v>
      </c>
      <c r="F49" s="295">
        <f>SUM(F45:F48)</f>
        <v>1832.5641804254333</v>
      </c>
      <c r="G49" s="295">
        <f>SUM(G45:G48)</f>
        <v>1868.5205802493813</v>
      </c>
      <c r="H49" s="295">
        <f>SUM(H45:H48)</f>
        <v>1895.4327322648514</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1717.56736</v>
      </c>
      <c r="D52" s="299">
        <f>E52*'Conversion Tables'!C45</f>
        <v>5071.6329006080005</v>
      </c>
      <c r="E52" s="299">
        <f>C52*'Prac. Rec. Assumptions'!B42</f>
        <v>343.51347200000004</v>
      </c>
      <c r="F52" s="294">
        <f t="shared" ref="F52:H59" si="7">$E52</f>
        <v>343.51347200000004</v>
      </c>
      <c r="G52" s="294">
        <f t="shared" si="7"/>
        <v>343.51347200000004</v>
      </c>
      <c r="H52" s="294">
        <f t="shared" si="7"/>
        <v>343.51347200000004</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370.41477500000002</v>
      </c>
      <c r="D53" s="299">
        <f>E53*'Conversion Tables'!C46</f>
        <v>3281.2822428599998</v>
      </c>
      <c r="E53" s="299">
        <f>C53*'Prac. Rec. Assumptions'!B43</f>
        <v>222.248865</v>
      </c>
      <c r="F53" s="294">
        <f t="shared" si="7"/>
        <v>222.248865</v>
      </c>
      <c r="G53" s="294">
        <f t="shared" si="7"/>
        <v>222.248865</v>
      </c>
      <c r="H53" s="294">
        <f t="shared" si="7"/>
        <v>222.248865</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4790.6523749999997</v>
      </c>
      <c r="D54" s="299">
        <f>E54*'Conversion Tables'!C47</f>
        <v>42437.514998699997</v>
      </c>
      <c r="E54" s="299">
        <f>C54*'Prac. Rec. Assumptions'!B44</f>
        <v>2874.3914249999998</v>
      </c>
      <c r="F54" s="294">
        <f t="shared" si="7"/>
        <v>2874.3914249999998</v>
      </c>
      <c r="G54" s="294">
        <f t="shared" si="7"/>
        <v>2874.3914249999998</v>
      </c>
      <c r="H54" s="294">
        <f t="shared" si="7"/>
        <v>2874.3914249999998</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244.832875</v>
      </c>
      <c r="D55" s="299">
        <f>E55*'Conversion Tables'!C48</f>
        <v>722.94251330000009</v>
      </c>
      <c r="E55" s="299">
        <f>C55*'Prac. Rec. Assumptions'!B45</f>
        <v>48.966575000000006</v>
      </c>
      <c r="F55" s="294">
        <f t="shared" si="7"/>
        <v>48.966575000000006</v>
      </c>
      <c r="G55" s="294">
        <f t="shared" si="7"/>
        <v>48.966575000000006</v>
      </c>
      <c r="H55" s="294">
        <f t="shared" si="7"/>
        <v>48.966575000000006</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227.79649999999998</v>
      </c>
      <c r="D56" s="299">
        <f>E56*'Conversion Tables'!C49</f>
        <v>672.63750519999996</v>
      </c>
      <c r="E56" s="299">
        <f>C56*'Prac. Rec. Assumptions'!B46</f>
        <v>45.5593</v>
      </c>
      <c r="F56" s="294">
        <f t="shared" si="7"/>
        <v>45.5593</v>
      </c>
      <c r="G56" s="294">
        <f t="shared" si="7"/>
        <v>45.5593</v>
      </c>
      <c r="H56" s="294">
        <f t="shared" si="7"/>
        <v>45.5593</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72.479875000000007</v>
      </c>
      <c r="D57" s="299">
        <f>E57*'Conversion Tables'!C50</f>
        <v>535.04643725000005</v>
      </c>
      <c r="E57" s="299">
        <f>C57*'Prac. Rec. Assumptions'!B47</f>
        <v>36.239937500000003</v>
      </c>
      <c r="F57" s="294">
        <f t="shared" si="7"/>
        <v>36.239937500000003</v>
      </c>
      <c r="G57" s="294">
        <f t="shared" si="7"/>
        <v>36.239937500000003</v>
      </c>
      <c r="H57" s="294">
        <f t="shared" si="7"/>
        <v>36.239937500000003</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1151.255625</v>
      </c>
      <c r="D58" s="299">
        <f>E58*'Conversion Tables'!C51</f>
        <v>13815.067500000001</v>
      </c>
      <c r="E58" s="299">
        <f>C58*'Prac. Rec. Assumptions'!B48</f>
        <v>1151.255625</v>
      </c>
      <c r="F58" s="294">
        <f t="shared" si="7"/>
        <v>1151.255625</v>
      </c>
      <c r="G58" s="294">
        <f t="shared" si="7"/>
        <v>1151.255625</v>
      </c>
      <c r="H58" s="294">
        <f t="shared" si="7"/>
        <v>1151.255625</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110.65203124999999</v>
      </c>
      <c r="D59" s="299">
        <f>E59*'Conversion Tables'!C52</f>
        <v>1633.6665893749998</v>
      </c>
      <c r="E59" s="299">
        <f>C59*'Prac. Rec. Assumptions'!B49</f>
        <v>110.65203124999999</v>
      </c>
      <c r="F59" s="294">
        <f t="shared" si="7"/>
        <v>110.65203124999999</v>
      </c>
      <c r="G59" s="294">
        <f t="shared" si="7"/>
        <v>110.65203124999999</v>
      </c>
      <c r="H59" s="294">
        <f t="shared" si="7"/>
        <v>110.65203124999999</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Assumptions'!AE24</f>
        <v>5930.7584929999994</v>
      </c>
      <c r="D60" s="299">
        <f>E60*'Conversion Tables'!C53</f>
        <v>71169.101915999985</v>
      </c>
      <c r="E60" s="299">
        <f>C60*'Prac. Rec. Assumptions'!B50</f>
        <v>5930.7584929999994</v>
      </c>
      <c r="F60" s="294">
        <f>($C60*(1+'Biomass Data Assumptions'!G$109*(4/5)))*'Prac. Rec. Assumptions'!$B50</f>
        <v>6111.3236649403452</v>
      </c>
      <c r="G60" s="294">
        <f>($C60*(1+'Biomass Data Assumptions'!H$109*(9/10)))*'Prac. Rec. Assumptions'!$B50</f>
        <v>6403.0905586244426</v>
      </c>
      <c r="H60" s="294">
        <f>($C60*(1+'Biomass Data Assumptions'!I$109*(14/15)))*'Prac. Rec. Assumptions'!$B50</f>
        <v>6629.5310283138615</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14616.40990925</v>
      </c>
      <c r="D61" s="295">
        <f t="shared" ref="D61:H61" si="8">SUM(D52:D60)</f>
        <v>139338.892603293</v>
      </c>
      <c r="E61" s="295">
        <f t="shared" si="8"/>
        <v>10763.585723749999</v>
      </c>
      <c r="F61" s="295">
        <f t="shared" si="8"/>
        <v>10944.150895690345</v>
      </c>
      <c r="G61" s="295">
        <f t="shared" si="8"/>
        <v>11235.917789374442</v>
      </c>
      <c r="H61" s="295">
        <f t="shared" si="8"/>
        <v>11462.358259063862</v>
      </c>
      <c r="I61" s="19">
        <f t="shared" ref="I61:P61" si="9">SUM(I52:I60)</f>
        <v>0</v>
      </c>
      <c r="J61" s="19">
        <f t="shared" si="9"/>
        <v>0</v>
      </c>
      <c r="K61" s="19">
        <f t="shared" si="9"/>
        <v>0</v>
      </c>
      <c r="L61" s="19">
        <f t="shared" si="9"/>
        <v>0</v>
      </c>
      <c r="M61" s="19">
        <f t="shared" si="9"/>
        <v>0</v>
      </c>
      <c r="N61" s="19">
        <f t="shared" si="9"/>
        <v>0</v>
      </c>
      <c r="O61" s="19">
        <f t="shared" si="9"/>
        <v>0</v>
      </c>
      <c r="P61" s="19">
        <f t="shared" si="9"/>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Assumptions'!AB24</f>
        <v>69.517717500000018</v>
      </c>
      <c r="D63" s="300">
        <f>E63*'Conversion Tables'!C55</f>
        <v>43031.467132500009</v>
      </c>
      <c r="E63" s="299">
        <f>C63*'Prac. Rec. Assumptions'!B51</f>
        <v>69.517717500000018</v>
      </c>
      <c r="F63" s="294">
        <f>($C63*(1+'Biomass Data Assumptions'!G$109*(4/5)))*'Prac. Rec. Assumptions'!$B51</f>
        <v>71.634222265470314</v>
      </c>
      <c r="G63" s="294">
        <f>($C63*(1+'Biomass Data Assumptions'!H$109*(9/10)))*'Prac. Rec. Assumptions'!$B51</f>
        <v>75.054184234065616</v>
      </c>
      <c r="H63" s="294">
        <f>($C63*(1+'Biomass Data Assumptions'!I$109*(14/15)))*'Prac. Rec. Assumptions'!$B51</f>
        <v>77.708418868811904</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Assumptions'!X24</f>
        <v>0</v>
      </c>
      <c r="D64" s="300">
        <f>E64*'Conversion Tables'!C56</f>
        <v>0</v>
      </c>
      <c r="E64" s="299">
        <f>C64*'Prac. Rec. Assumptions'!B52</f>
        <v>0</v>
      </c>
      <c r="F64" s="545">
        <f>($C64*(1+'Biomass Data Assumptions'!G$109*(3/5))*(1+('Biomass Data Assumptions'!C$82-((1+'Biomass Data Assumptions'!$B$82)^2 - 1))))*'Prac. Rec. Assumptions'!$B52</f>
        <v>0</v>
      </c>
      <c r="G64" s="545">
        <f>($C64*(1+'Biomass Data Assumptions'!H$109*(4/5))*(1+('Biomass Data Assumptions'!D$82-((1+'Biomass Data Assumptions'!$B$82)^2 - 1))))*'Prac. Rec. Assumptions'!$B52</f>
        <v>0</v>
      </c>
      <c r="H64" s="545">
        <f>($C64*(1+'Biomass Data Assumptions'!I$109*(13/15))*(1+('Biomass Data Assumptions'!E$82-((1+'Biomass Data Assumptions'!$B$82)^2 - 1))))*'Prac. Rec. Assumptions'!$B52</f>
        <v>0</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69.517717500000018</v>
      </c>
      <c r="D65" s="295">
        <f>SUM(D63:D64)</f>
        <v>43031.467132500009</v>
      </c>
      <c r="E65" s="295">
        <f t="shared" ref="E65:P65" si="10">SUM(E63:E64)</f>
        <v>69.517717500000018</v>
      </c>
      <c r="F65" s="295">
        <f>SUM(F63:F64)</f>
        <v>71.634222265470314</v>
      </c>
      <c r="G65" s="295">
        <f>SUM(G63:G64)</f>
        <v>75.054184234065616</v>
      </c>
      <c r="H65" s="295">
        <f>SUM(H63:H64)</f>
        <v>77.708418868811904</v>
      </c>
      <c r="I65" s="19">
        <f t="shared" si="10"/>
        <v>0</v>
      </c>
      <c r="J65" s="19">
        <f t="shared" si="10"/>
        <v>0</v>
      </c>
      <c r="K65" s="19">
        <f t="shared" si="10"/>
        <v>0</v>
      </c>
      <c r="L65" s="19">
        <f t="shared" si="10"/>
        <v>0</v>
      </c>
      <c r="M65" s="19">
        <f t="shared" si="10"/>
        <v>0</v>
      </c>
      <c r="N65" s="19">
        <f t="shared" si="10"/>
        <v>0</v>
      </c>
      <c r="O65" s="19">
        <f t="shared" si="10"/>
        <v>0</v>
      </c>
      <c r="P65" s="19">
        <f t="shared" si="10"/>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16973.968984036717</v>
      </c>
      <c r="D67" s="295">
        <f t="shared" ref="D67" si="11">D61+D65</f>
        <v>182370.35973579303</v>
      </c>
      <c r="E67" s="295">
        <f>E61+(E63*1000000/29487.1582406855)+(E64*1000000/25364.5039539246)</f>
        <v>13121.144798536716</v>
      </c>
      <c r="F67" s="295">
        <f t="shared" ref="F67:H67" si="12">F61+(F63*1000000/29487.1582406855)+(F64*1000000/25364.5039539246)</f>
        <v>13373.487140328241</v>
      </c>
      <c r="G67" s="295">
        <f t="shared" si="12"/>
        <v>13781.23543651577</v>
      </c>
      <c r="H67" s="295">
        <f t="shared" si="12"/>
        <v>14097.689145632379</v>
      </c>
      <c r="I67" s="19">
        <f t="shared" ref="I67:P67" si="13">I61+I65</f>
        <v>0</v>
      </c>
      <c r="J67" s="19">
        <f t="shared" si="13"/>
        <v>0</v>
      </c>
      <c r="K67" s="19">
        <f t="shared" si="13"/>
        <v>0</v>
      </c>
      <c r="L67" s="19">
        <f t="shared" si="13"/>
        <v>0</v>
      </c>
      <c r="M67" s="19">
        <f t="shared" si="13"/>
        <v>0</v>
      </c>
      <c r="N67" s="19">
        <f t="shared" si="13"/>
        <v>0</v>
      </c>
      <c r="O67" s="19">
        <f t="shared" si="13"/>
        <v>0</v>
      </c>
      <c r="P67" s="19">
        <f t="shared" si="13"/>
        <v>0</v>
      </c>
      <c r="Q67" s="19"/>
    </row>
    <row r="68" spans="1:19" customFormat="1" x14ac:dyDescent="0.25">
      <c r="B68" s="270" t="s">
        <v>162</v>
      </c>
      <c r="C68" s="132">
        <f>C11+C29+C43+C49+C67</f>
        <v>229233.43851023671</v>
      </c>
      <c r="D68" s="132"/>
      <c r="E68" s="132">
        <f>E11+E29+E43+E49+E67</f>
        <v>122270.01742721671</v>
      </c>
      <c r="F68" s="132">
        <f>F11+F29+F43+F49+F67</f>
        <v>127552.71090862341</v>
      </c>
      <c r="G68" s="132">
        <f>G11+G29+G43+G49+G67</f>
        <v>134364.80135390142</v>
      </c>
      <c r="H68" s="132">
        <f>H11+H29+H43+H49+H67</f>
        <v>140197.42219567171</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4">SUM(N8:N66)/2</f>
        <v>0</v>
      </c>
      <c r="O69" s="1003">
        <f t="shared" si="14"/>
        <v>0</v>
      </c>
      <c r="P69" s="1003">
        <f t="shared" si="14"/>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105</v>
      </c>
      <c r="C74" s="40">
        <f>'Biomass Data Assumptions'!B38*B74</f>
        <v>6856.5</v>
      </c>
      <c r="D74" s="40">
        <f>(C74*'Biomass Data Assumptions'!C38)/2000</f>
        <v>191.982</v>
      </c>
      <c r="E74" s="41"/>
      <c r="F74" s="41"/>
      <c r="G74" s="41"/>
      <c r="H74" s="36"/>
      <c r="I74" s="36"/>
      <c r="J74" s="36"/>
      <c r="K74" s="36"/>
      <c r="L74" s="36"/>
      <c r="M74" s="36"/>
      <c r="N74" s="36"/>
      <c r="O74" s="36"/>
      <c r="P74" s="36"/>
      <c r="Q74" s="36"/>
      <c r="R74" s="36"/>
    </row>
    <row r="75" spans="1:19" x14ac:dyDescent="0.25">
      <c r="A75" s="39" t="s">
        <v>520</v>
      </c>
      <c r="B75" s="21">
        <v>589</v>
      </c>
      <c r="C75" s="40">
        <f>'Biomass Data Assumptions'!B39*B75</f>
        <v>16079.7</v>
      </c>
      <c r="D75" s="40">
        <f>(C75*'Biomass Data Assumptions'!C39)/2000</f>
        <v>450.23160000000001</v>
      </c>
      <c r="E75" s="41"/>
      <c r="F75" s="41"/>
      <c r="G75" s="41"/>
      <c r="H75" s="36"/>
      <c r="I75" s="36"/>
      <c r="J75" s="36"/>
      <c r="K75" s="36"/>
      <c r="L75" s="36"/>
      <c r="M75" s="36"/>
      <c r="N75" s="36"/>
      <c r="O75" s="36"/>
      <c r="P75" s="36"/>
      <c r="Q75" s="36"/>
      <c r="R75" s="36"/>
    </row>
    <row r="76" spans="1:19" x14ac:dyDescent="0.25">
      <c r="A76" s="39" t="s">
        <v>521</v>
      </c>
      <c r="B76" s="21">
        <v>1579</v>
      </c>
      <c r="C76" s="40">
        <f>'Biomass Data Assumptions'!B40*B76</f>
        <v>197375</v>
      </c>
      <c r="D76" s="40">
        <f>(C76*'Biomass Data Assumptions'!C40)/2000</f>
        <v>5526.5</v>
      </c>
      <c r="E76" s="41"/>
      <c r="F76" s="41"/>
      <c r="G76" s="41"/>
      <c r="H76" s="36"/>
      <c r="I76" s="36"/>
      <c r="J76" s="36"/>
      <c r="K76" s="36"/>
      <c r="L76" s="36"/>
      <c r="M76" s="36"/>
      <c r="N76" s="36"/>
      <c r="O76" s="36"/>
      <c r="P76" s="36"/>
      <c r="Q76" s="36"/>
      <c r="R76" s="36"/>
    </row>
    <row r="77" spans="1:19" x14ac:dyDescent="0.25">
      <c r="A77" s="39" t="s">
        <v>525</v>
      </c>
      <c r="B77" s="21">
        <v>1138</v>
      </c>
      <c r="C77" s="40">
        <f>'Biomass Data Assumptions'!B41*B77</f>
        <v>36416</v>
      </c>
      <c r="D77" s="40">
        <f>(C77*'Biomass Data Assumptions'!C41)/2000</f>
        <v>1092.48</v>
      </c>
      <c r="E77" s="41"/>
      <c r="F77" s="41"/>
      <c r="G77" s="41"/>
      <c r="H77" s="36"/>
      <c r="I77" s="36"/>
      <c r="J77" s="36"/>
      <c r="K77" s="36"/>
      <c r="L77" s="36"/>
      <c r="M77" s="36"/>
      <c r="N77" s="36"/>
      <c r="O77" s="36"/>
      <c r="P77" s="36"/>
      <c r="Q77" s="36"/>
      <c r="R77" s="36"/>
    </row>
    <row r="78" spans="1:19" x14ac:dyDescent="0.25">
      <c r="A78" s="39" t="s">
        <v>522</v>
      </c>
      <c r="B78" s="21">
        <v>1185</v>
      </c>
      <c r="C78" s="40">
        <f>'Biomass Data Assumptions'!B42*B78</f>
        <v>63990</v>
      </c>
      <c r="D78" s="40">
        <f>(C78*'Biomass Data Assumptions'!C42)/2000</f>
        <v>1919.7</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22</v>
      </c>
      <c r="C81" s="40">
        <f>'Biomass Data Assumptions'!B49*B81</f>
        <v>22</v>
      </c>
      <c r="D81" s="40">
        <f>C81*'Energy Content Assumptions'!C11</f>
        <v>18.7</v>
      </c>
      <c r="E81" s="41"/>
      <c r="F81" s="41"/>
      <c r="G81" s="41"/>
      <c r="H81" s="36"/>
      <c r="I81" s="36"/>
      <c r="J81" s="36"/>
      <c r="K81" s="36"/>
      <c r="L81" s="36"/>
      <c r="M81" s="36"/>
      <c r="N81" s="36"/>
      <c r="O81" s="36"/>
      <c r="P81" s="36"/>
      <c r="Q81" s="36"/>
      <c r="R81" s="36"/>
    </row>
    <row r="82" spans="1:18" x14ac:dyDescent="0.25">
      <c r="A82" s="39" t="s">
        <v>520</v>
      </c>
      <c r="B82" s="21">
        <f>589+28</f>
        <v>617</v>
      </c>
      <c r="C82" s="40">
        <f>'Biomass Data Assumptions'!B50*B82</f>
        <v>1388.25</v>
      </c>
      <c r="D82" s="40">
        <f>C82*'Energy Content Assumptions'!C12</f>
        <v>1180.0125</v>
      </c>
      <c r="E82" s="41"/>
      <c r="F82" s="41"/>
      <c r="G82" s="41"/>
      <c r="H82" s="36"/>
      <c r="I82" s="36"/>
      <c r="J82" s="36"/>
      <c r="K82" s="36"/>
      <c r="L82" s="36"/>
      <c r="M82" s="36"/>
      <c r="N82" s="36"/>
      <c r="O82" s="36"/>
      <c r="P82" s="36"/>
      <c r="Q82" s="36"/>
      <c r="R82" s="36"/>
    </row>
    <row r="83" spans="1:18" x14ac:dyDescent="0.25">
      <c r="A83" s="39" t="s">
        <v>521</v>
      </c>
      <c r="B83" s="21">
        <v>1579</v>
      </c>
      <c r="C83" s="40">
        <f>'Biomass Data Assumptions'!B51*B83</f>
        <v>3947.5</v>
      </c>
      <c r="D83" s="40">
        <f>C83*'Energy Content Assumptions'!C13</f>
        <v>3355.375</v>
      </c>
      <c r="E83" s="41"/>
      <c r="F83" s="41"/>
      <c r="G83" s="41"/>
      <c r="H83" s="36"/>
      <c r="I83" s="36"/>
      <c r="J83" s="36"/>
      <c r="K83" s="36"/>
      <c r="L83" s="36"/>
      <c r="M83" s="36"/>
      <c r="N83" s="36"/>
      <c r="O83" s="36"/>
      <c r="P83" s="36"/>
      <c r="Q83" s="36"/>
      <c r="R83" s="36"/>
    </row>
    <row r="84" spans="1:18" x14ac:dyDescent="0.25">
      <c r="A84" s="39" t="s">
        <v>528</v>
      </c>
      <c r="B84" s="21">
        <v>295</v>
      </c>
      <c r="C84" s="40">
        <f>'Biomass Data Assumptions'!B52*B84</f>
        <v>4838</v>
      </c>
      <c r="D84" s="40">
        <f>C84*'Energy Content Assumptions'!C14</f>
        <v>1693.3</v>
      </c>
      <c r="E84" s="41"/>
      <c r="F84" s="41"/>
      <c r="G84" s="41"/>
      <c r="H84" s="36"/>
      <c r="I84" s="36"/>
      <c r="J84" s="36"/>
      <c r="K84" s="36"/>
      <c r="L84" s="36"/>
      <c r="M84" s="36"/>
      <c r="N84" s="36"/>
      <c r="O84" s="36"/>
      <c r="P84" s="36"/>
      <c r="Q84" s="36"/>
      <c r="R84" s="36"/>
    </row>
    <row r="85" spans="1:18" x14ac:dyDescent="0.25">
      <c r="A85" s="39" t="s">
        <v>529</v>
      </c>
      <c r="B85" s="21">
        <v>1805</v>
      </c>
      <c r="C85" s="40">
        <f>'Biomass Data Assumptions'!B53*B85</f>
        <v>5776</v>
      </c>
      <c r="D85" s="40">
        <f>C85*'Energy Content Assumptions'!C15</f>
        <v>4909.5999999999995</v>
      </c>
      <c r="E85" s="41"/>
      <c r="F85" s="41"/>
      <c r="G85" s="41"/>
      <c r="H85" s="36"/>
      <c r="I85" s="36"/>
      <c r="J85" s="36"/>
      <c r="K85" s="36"/>
      <c r="L85" s="36"/>
      <c r="M85" s="36"/>
      <c r="N85" s="36"/>
      <c r="O85" s="36"/>
      <c r="P85" s="36"/>
      <c r="Q85" s="36"/>
      <c r="R85" s="36"/>
    </row>
    <row r="86" spans="1:18" x14ac:dyDescent="0.25">
      <c r="A86" s="39" t="s">
        <v>530</v>
      </c>
      <c r="B86" s="21">
        <v>8676</v>
      </c>
      <c r="C86" s="40">
        <f>'Biomass Data Assumptions'!B54*B86</f>
        <v>14749.199999999999</v>
      </c>
      <c r="D86" s="40">
        <f>C86*'Energy Content Assumptions'!C16</f>
        <v>12536.819999999998</v>
      </c>
      <c r="E86" s="41"/>
      <c r="F86" s="41"/>
      <c r="G86" s="41"/>
      <c r="H86" s="36"/>
      <c r="I86" s="36"/>
      <c r="J86" s="36"/>
      <c r="K86" s="36"/>
      <c r="L86" s="36"/>
      <c r="M86" s="36"/>
      <c r="N86" s="36"/>
      <c r="O86" s="36"/>
      <c r="P86" s="36"/>
      <c r="Q86" s="36"/>
      <c r="R86" s="36"/>
    </row>
    <row r="87" spans="1:18" x14ac:dyDescent="0.25">
      <c r="A87" s="39" t="s">
        <v>522</v>
      </c>
      <c r="B87" s="21">
        <f>1115+0</f>
        <v>1115</v>
      </c>
      <c r="C87" s="40">
        <f>'Biomass Data Assumptions'!B55*B87</f>
        <v>1951.25</v>
      </c>
      <c r="D87" s="40">
        <f>C87*'Energy Content Assumptions'!C17</f>
        <v>1658.5625</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1516</v>
      </c>
      <c r="C97" s="41">
        <f>ROUND('Biomass Data Assumptions'!$B$60/1000*B97,0)</f>
        <v>1516</v>
      </c>
      <c r="D97" s="41">
        <f>'Biomass Data Assumptions'!$C$60*C97</f>
        <v>50907280</v>
      </c>
      <c r="E97" s="41">
        <f>('Biomass Data Assumptions'!$D$60*'Energy Content Assumptions'!$C$44*D97)/2000</f>
        <v>610.88735999999994</v>
      </c>
      <c r="F97" s="41">
        <f>('Biomass Data Assumptions'!$E$60*B97*365)/2000</f>
        <v>1106.68</v>
      </c>
      <c r="G97" s="41">
        <f>F97+E97</f>
        <v>1717.56736</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ht="11.25" customHeight="1" x14ac:dyDescent="0.25">
      <c r="A100" s="460" t="s">
        <v>603</v>
      </c>
      <c r="B100" s="85">
        <v>241</v>
      </c>
      <c r="C100" s="41">
        <f>ROUND('Biomass Data Assumptions'!B62/1000*B100,0)</f>
        <v>84</v>
      </c>
      <c r="D100" s="41">
        <f>'Biomass Data Assumptions'!C62*C100</f>
        <v>2452800</v>
      </c>
      <c r="E100" s="41">
        <f>('Biomass Data Assumptions'!D62*'Energy Content Assumptions'!C46*D100)/2000</f>
        <v>110.376</v>
      </c>
      <c r="F100" s="41">
        <f>('Biomass Data Assumptions'!E62*B100*365)/2000</f>
        <v>219.91249999999999</v>
      </c>
      <c r="G100" s="41">
        <f>F100+E100</f>
        <v>330.2885</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9</v>
      </c>
      <c r="C102" s="41">
        <f>ROUND('Biomass Data Assumptions'!B64/1000*B102,0)</f>
        <v>13</v>
      </c>
      <c r="D102" s="41">
        <f>'Biomass Data Assumptions'!C64*C102</f>
        <v>526695</v>
      </c>
      <c r="E102" s="41">
        <f>('Biomass Data Assumptions'!D64*'Energy Content Assumptions'!C48*D102)/2000</f>
        <v>23.701274999999999</v>
      </c>
      <c r="F102" s="41">
        <f>'Biomass Data Assumptions'!E64*B102*365/2000</f>
        <v>16.425000000000001</v>
      </c>
      <c r="G102" s="41">
        <f>F102+E102</f>
        <v>40.126275</v>
      </c>
      <c r="H102" s="36"/>
      <c r="I102" s="36"/>
      <c r="J102" s="41"/>
      <c r="K102" s="41"/>
      <c r="L102" s="41"/>
      <c r="M102" s="41"/>
      <c r="N102" s="36"/>
      <c r="O102" s="36"/>
      <c r="P102" s="36"/>
      <c r="Q102" s="36"/>
      <c r="R102" s="36"/>
    </row>
    <row r="103" spans="1:18" hidden="1" x14ac:dyDescent="0.25">
      <c r="A103" s="45"/>
      <c r="B103" s="85"/>
      <c r="C103" s="41"/>
      <c r="D103" s="41"/>
      <c r="E103" s="41"/>
      <c r="F103" s="41"/>
      <c r="G103" s="41"/>
      <c r="H103" s="457"/>
      <c r="I103" s="457"/>
      <c r="J103" s="41"/>
      <c r="K103" s="41"/>
      <c r="L103" s="41"/>
      <c r="M103" s="41"/>
      <c r="N103" s="36"/>
      <c r="O103" s="36"/>
      <c r="P103" s="36"/>
      <c r="Q103" s="36"/>
      <c r="R103" s="36"/>
    </row>
    <row r="104" spans="1:18" x14ac:dyDescent="0.25">
      <c r="A104" s="467" t="s">
        <v>544</v>
      </c>
      <c r="B104" s="85">
        <f t="shared" ref="B104:G104" si="15">SUM(B100:B103)</f>
        <v>250</v>
      </c>
      <c r="C104" s="41">
        <f t="shared" si="15"/>
        <v>97</v>
      </c>
      <c r="D104" s="41">
        <f t="shared" si="15"/>
        <v>2979495</v>
      </c>
      <c r="E104" s="41">
        <f t="shared" si="15"/>
        <v>134.07727500000001</v>
      </c>
      <c r="F104" s="41">
        <f t="shared" si="15"/>
        <v>236.33750000000001</v>
      </c>
      <c r="G104" s="41">
        <f t="shared" si="15"/>
        <v>370.41477500000002</v>
      </c>
      <c r="H104" s="457"/>
      <c r="I104" s="457"/>
      <c r="J104" s="41"/>
      <c r="K104" s="41"/>
      <c r="L104" s="41"/>
      <c r="M104" s="41"/>
      <c r="N104" s="36"/>
      <c r="O104" s="36"/>
      <c r="P104" s="36"/>
      <c r="Q104" s="36"/>
      <c r="R104" s="36"/>
    </row>
    <row r="105" spans="1:18" x14ac:dyDescent="0.25">
      <c r="A105" s="46"/>
      <c r="B105" s="41"/>
      <c r="C105" s="41"/>
      <c r="D105" s="41"/>
      <c r="E105" s="41"/>
      <c r="F105" s="41"/>
      <c r="G105" s="41"/>
      <c r="H105" s="457"/>
      <c r="I105" s="457"/>
      <c r="J105" s="41"/>
      <c r="K105" s="41"/>
      <c r="L105" s="41"/>
      <c r="M105" s="41"/>
      <c r="N105" s="36"/>
      <c r="O105" s="36"/>
      <c r="P105" s="36"/>
      <c r="Q105" s="36"/>
      <c r="R105" s="36"/>
    </row>
    <row r="106" spans="1:18" ht="13.5" customHeight="1" x14ac:dyDescent="0.25">
      <c r="A106" s="43" t="s">
        <v>545</v>
      </c>
      <c r="B106" s="85">
        <v>1390</v>
      </c>
      <c r="C106" s="41">
        <f>ROUND('Biomass Data Assumptions'!B66/1000*B106,0)</f>
        <v>1390</v>
      </c>
      <c r="D106" s="41">
        <f>'Biomass Data Assumptions'!C66*C106</f>
        <v>28157925</v>
      </c>
      <c r="E106" s="41">
        <f>('Biomass Data Assumptions'!D66*'Energy Content Assumptions'!C50*D106)/2000</f>
        <v>985.52737500000012</v>
      </c>
      <c r="F106" s="41">
        <f>'Biomass Data Assumptions'!E66*B106*365/2000</f>
        <v>3805.125</v>
      </c>
      <c r="G106" s="41">
        <f>F106+E106</f>
        <v>4790.6523749999997</v>
      </c>
      <c r="H106" s="36"/>
      <c r="I106" s="36"/>
      <c r="J106" s="41"/>
      <c r="K106" s="41"/>
      <c r="L106" s="41"/>
      <c r="M106" s="41"/>
      <c r="N106" s="36"/>
      <c r="O106" s="36"/>
      <c r="P106" s="36"/>
      <c r="Q106" s="36"/>
      <c r="R106" s="36"/>
    </row>
    <row r="107" spans="1:18" ht="12" customHeight="1"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1114</v>
      </c>
      <c r="C108" s="41">
        <f>ROUND('Biomass Data Assumptions'!B67/1000*B108,0)</f>
        <v>111</v>
      </c>
      <c r="D108" s="41">
        <f>'Biomass Data Assumptions'!C67*C108</f>
        <v>1661115</v>
      </c>
      <c r="E108" s="41">
        <f>('Biomass Data Assumptions'!D67*'Energy Content Assumptions'!C51*D108)/2000</f>
        <v>41.527875000000002</v>
      </c>
      <c r="F108" s="41">
        <f>'Biomass Data Assumptions'!E67*B108*365/2000</f>
        <v>203.30500000000001</v>
      </c>
      <c r="G108" s="41">
        <f>F108+E108</f>
        <v>244.832875</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1035</v>
      </c>
      <c r="C110" s="41">
        <f>ROUND('Biomass Data Assumptions'!B68/1000*B110,0)</f>
        <v>104</v>
      </c>
      <c r="D110" s="41">
        <f>'Biomass Data Assumptions'!C68*C110</f>
        <v>1556360</v>
      </c>
      <c r="E110" s="41">
        <f>('Biomass Data Assumptions'!D68*'Energy Content Assumptions'!C52*D110)/2000</f>
        <v>38.908999999999999</v>
      </c>
      <c r="F110" s="41">
        <f>'Biomass Data Assumptions'!E68*B110*365/2000</f>
        <v>188.88749999999999</v>
      </c>
      <c r="G110" s="41">
        <f>F110+E110</f>
        <v>227.79649999999998</v>
      </c>
      <c r="H110" s="150" t="s">
        <v>609</v>
      </c>
      <c r="I110" s="36"/>
      <c r="J110" s="41"/>
      <c r="K110" s="41"/>
      <c r="L110" s="41"/>
      <c r="M110" s="41"/>
      <c r="N110" s="36"/>
      <c r="O110" s="36"/>
      <c r="P110" s="36"/>
      <c r="Q110" s="36"/>
      <c r="R110" s="36"/>
    </row>
    <row r="111" spans="1:18" ht="12" customHeight="1"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422</v>
      </c>
      <c r="C115" s="41">
        <f>ROUND('Biomass Data Assumptions'!$B$71/1000*B115,0)</f>
        <v>169</v>
      </c>
      <c r="D115" s="41">
        <f>'Biomass Data Assumptions'!$C$71*C115</f>
        <v>2899195</v>
      </c>
      <c r="E115" s="41">
        <f>('Biomass Data Assumptions'!$D$71*'Energy Content Assumptions'!$C$55*D115)/2000</f>
        <v>72.479875000000007</v>
      </c>
      <c r="F115" s="41">
        <f>'Biomass Data Assumptions'!$E$71*B115*365/2000</f>
        <v>0</v>
      </c>
      <c r="G115" s="41">
        <f>F115+E115</f>
        <v>72.479875000000007</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1258+121094+7094</f>
        <v>129446</v>
      </c>
      <c r="C117" s="41">
        <f>ROUND('Biomass Data Assumptions'!B72/1000*B117,0)</f>
        <v>647</v>
      </c>
      <c r="D117" s="41">
        <f>'Biomass Data Assumptions'!C72*C117</f>
        <v>11807750</v>
      </c>
      <c r="E117" s="41">
        <f>('Biomass Data Assumptions'!D72*'Energy Content Assumptions'!C56*D117)/2000</f>
        <v>1151.255625</v>
      </c>
      <c r="F117" s="41">
        <f>'Biomass Data Assumptions'!E72*B117*365/2000</f>
        <v>0</v>
      </c>
      <c r="G117" s="41">
        <f>F117+E117</f>
        <v>1151.255625</v>
      </c>
      <c r="H117" s="457"/>
      <c r="I117" s="36"/>
      <c r="J117" s="41"/>
      <c r="K117" s="41"/>
      <c r="L117" s="41"/>
      <c r="M117" s="41"/>
      <c r="N117" s="36"/>
      <c r="O117" s="36"/>
      <c r="P117" s="36"/>
      <c r="Q117" s="36"/>
      <c r="R117" s="36"/>
    </row>
    <row r="118" spans="1:18" x14ac:dyDescent="0.25">
      <c r="A118" s="43"/>
      <c r="B118" s="41"/>
      <c r="C118" s="41"/>
      <c r="D118" s="41"/>
      <c r="E118" s="41"/>
      <c r="F118" s="41"/>
      <c r="G118" s="41"/>
      <c r="H118" s="457"/>
      <c r="I118" s="36"/>
      <c r="J118" s="41"/>
      <c r="K118" s="41"/>
      <c r="L118" s="41"/>
      <c r="M118" s="41"/>
      <c r="N118" s="36"/>
      <c r="O118" s="36"/>
      <c r="P118" s="36"/>
      <c r="Q118" s="36"/>
      <c r="R118" s="36"/>
    </row>
    <row r="119" spans="1:18" x14ac:dyDescent="0.25">
      <c r="A119" s="43" t="s">
        <v>552</v>
      </c>
      <c r="B119" s="85">
        <v>2525</v>
      </c>
      <c r="C119" s="41">
        <f>ROUND('Biomass Data Assumptions'!B73/1000*B119,0)</f>
        <v>51</v>
      </c>
      <c r="D119" s="41">
        <f>'Biomass Data Assumptions'!C73*C119</f>
        <v>688755</v>
      </c>
      <c r="E119" s="41">
        <f>('Biomass Data Assumptions'!D73*'Energy Content Assumptions'!C57*D119)/2000</f>
        <v>64.570781249999996</v>
      </c>
      <c r="F119" s="41">
        <f>'Biomass Data Assumptions'!E73*B119*365/2000</f>
        <v>46.081249999999997</v>
      </c>
      <c r="G119" s="41">
        <f>F119+E119</f>
        <v>110.65203124999999</v>
      </c>
      <c r="H119" s="457"/>
      <c r="I119" s="36"/>
      <c r="J119" s="41"/>
      <c r="K119" s="41"/>
      <c r="L119" s="41"/>
      <c r="M119" s="41"/>
      <c r="N119" s="36"/>
      <c r="O119" s="36"/>
      <c r="P119" s="36"/>
      <c r="Q119" s="36"/>
      <c r="R119" s="36"/>
    </row>
    <row r="120" spans="1:18" x14ac:dyDescent="0.25">
      <c r="A120" s="43"/>
      <c r="B120" s="41"/>
      <c r="C120" s="41"/>
      <c r="D120" s="41"/>
      <c r="E120" s="41"/>
      <c r="F120" s="41"/>
      <c r="G120" s="41"/>
      <c r="H120" s="457"/>
      <c r="I120" s="36"/>
      <c r="J120" s="41"/>
      <c r="K120" s="41"/>
      <c r="L120" s="41"/>
      <c r="M120" s="41"/>
      <c r="N120" s="36"/>
      <c r="O120" s="36"/>
      <c r="P120" s="36"/>
      <c r="Q120" s="36"/>
      <c r="R120" s="36"/>
    </row>
    <row r="121" spans="1:18" x14ac:dyDescent="0.25">
      <c r="A121" s="43" t="s">
        <v>553</v>
      </c>
      <c r="B121" s="86">
        <f t="shared" ref="B121:G121" si="16">B97+B104+B106+B108+B110+B115+B117+B119</f>
        <v>137698</v>
      </c>
      <c r="C121" s="48">
        <f t="shared" si="16"/>
        <v>4085</v>
      </c>
      <c r="D121" s="48">
        <f t="shared" si="16"/>
        <v>100657875</v>
      </c>
      <c r="E121" s="48">
        <f t="shared" si="16"/>
        <v>3099.23516625</v>
      </c>
      <c r="F121" s="48">
        <f t="shared" si="16"/>
        <v>5586.4162500000002</v>
      </c>
      <c r="G121" s="48">
        <f t="shared" si="16"/>
        <v>8685.6514162500007</v>
      </c>
      <c r="H121" s="457"/>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20627.2</v>
      </c>
      <c r="C124" s="543">
        <f>B124*'Energy Content Assumptions'!C33</f>
        <v>18564.48</v>
      </c>
      <c r="D124" s="36"/>
      <c r="E124" s="36"/>
      <c r="F124" s="36"/>
      <c r="G124" s="36"/>
      <c r="H124" s="36"/>
      <c r="I124" s="36"/>
      <c r="J124" s="36"/>
      <c r="K124" s="36"/>
      <c r="L124" s="36"/>
      <c r="M124" s="36"/>
      <c r="N124" s="36"/>
      <c r="O124" s="36"/>
      <c r="P124" s="36"/>
      <c r="Q124" s="36"/>
      <c r="R124" s="36"/>
    </row>
    <row r="125" spans="1:18" x14ac:dyDescent="0.25">
      <c r="A125" s="50" t="s">
        <v>556</v>
      </c>
      <c r="B125" s="87">
        <v>3724.46</v>
      </c>
      <c r="C125" s="543">
        <f>B125*'Energy Content Assumptions'!C34</f>
        <v>3352.0140000000001</v>
      </c>
      <c r="D125" s="36"/>
      <c r="E125" s="36"/>
      <c r="F125" s="36"/>
      <c r="G125" s="36"/>
      <c r="H125" s="36"/>
      <c r="I125" s="36"/>
      <c r="J125" s="36"/>
      <c r="K125" s="36"/>
      <c r="L125" s="36"/>
      <c r="M125" s="36"/>
      <c r="N125" s="36"/>
      <c r="O125" s="36"/>
      <c r="P125" s="36"/>
      <c r="Q125" s="36"/>
      <c r="R125" s="36"/>
    </row>
    <row r="126" spans="1:18" x14ac:dyDescent="0.25">
      <c r="A126" s="50" t="s">
        <v>557</v>
      </c>
      <c r="B126" s="87">
        <v>17750.22</v>
      </c>
      <c r="C126" s="543">
        <f>B126*'Energy Content Assumptions'!C35</f>
        <v>15975.198000000002</v>
      </c>
      <c r="D126" s="36"/>
      <c r="E126" s="36"/>
      <c r="F126" s="36"/>
      <c r="G126" s="36"/>
      <c r="H126" s="36"/>
      <c r="I126" s="36"/>
      <c r="J126" s="36"/>
      <c r="K126" s="36"/>
      <c r="L126" s="36"/>
      <c r="M126" s="36"/>
      <c r="N126" s="36"/>
      <c r="O126" s="36"/>
      <c r="P126" s="36"/>
      <c r="Q126" s="36"/>
      <c r="R126" s="36"/>
    </row>
    <row r="127" spans="1:18" x14ac:dyDescent="0.25">
      <c r="A127" s="50" t="s">
        <v>558</v>
      </c>
      <c r="B127" s="549">
        <v>3857.49</v>
      </c>
      <c r="C127" s="543">
        <f>B127*'Energy Content Assumptions'!C36</f>
        <v>3471.741</v>
      </c>
      <c r="D127" s="36"/>
      <c r="E127" s="36"/>
      <c r="F127" s="36"/>
      <c r="G127" s="36"/>
      <c r="H127" s="36"/>
      <c r="I127" s="36"/>
      <c r="J127" s="36"/>
      <c r="K127" s="36"/>
      <c r="L127" s="36"/>
      <c r="M127" s="36"/>
      <c r="N127" s="36"/>
      <c r="O127" s="36"/>
      <c r="P127" s="36"/>
      <c r="Q127" s="36"/>
      <c r="R127" s="36"/>
    </row>
    <row r="128" spans="1:18" x14ac:dyDescent="0.25">
      <c r="A128" s="50" t="s">
        <v>559</v>
      </c>
      <c r="B128" s="87">
        <v>9038.92</v>
      </c>
      <c r="C128" s="543">
        <f>B128*'Energy Content Assumptions'!C21</f>
        <v>4519.46</v>
      </c>
      <c r="D128" s="36"/>
      <c r="E128" s="36"/>
      <c r="F128" s="36"/>
      <c r="G128" s="36"/>
      <c r="H128" s="36"/>
      <c r="I128" s="36"/>
      <c r="J128" s="36"/>
      <c r="K128" s="36"/>
      <c r="L128" s="36"/>
      <c r="M128" s="36"/>
      <c r="N128" s="36"/>
      <c r="O128" s="36"/>
      <c r="P128" s="36"/>
      <c r="Q128" s="36"/>
      <c r="R128" s="36"/>
    </row>
    <row r="129" spans="1:18" x14ac:dyDescent="0.25">
      <c r="A129" s="50" t="s">
        <v>560</v>
      </c>
      <c r="B129" s="87">
        <v>615.70000000000005</v>
      </c>
      <c r="C129" s="543">
        <f>B129*'Energy Content Assumptions'!C22</f>
        <v>205.23333333333335</v>
      </c>
      <c r="D129" s="36"/>
      <c r="E129" s="36"/>
      <c r="F129" s="36"/>
      <c r="G129" s="36"/>
      <c r="H129" s="36"/>
      <c r="I129" s="36"/>
      <c r="J129" s="36"/>
      <c r="K129" s="36"/>
      <c r="L129" s="36"/>
      <c r="M129" s="36"/>
      <c r="N129" s="36"/>
      <c r="O129" s="36"/>
      <c r="P129" s="36"/>
      <c r="Q129" s="36"/>
      <c r="R129" s="36"/>
    </row>
    <row r="130" spans="1:18" x14ac:dyDescent="0.25">
      <c r="A130" s="50" t="s">
        <v>561</v>
      </c>
      <c r="B130" s="87">
        <v>8077.07</v>
      </c>
      <c r="C130" s="543">
        <f>B130*'Energy Content Assumptions'!C23</f>
        <v>2692.3566666666666</v>
      </c>
      <c r="D130" s="36"/>
      <c r="E130" s="36"/>
      <c r="F130" s="36"/>
      <c r="G130" s="36"/>
      <c r="H130" s="36"/>
      <c r="I130" s="36"/>
      <c r="J130" s="36"/>
      <c r="K130" s="36"/>
      <c r="L130" s="36"/>
      <c r="M130" s="36"/>
      <c r="N130" s="36"/>
      <c r="O130" s="36"/>
      <c r="P130" s="36"/>
      <c r="Q130" s="36"/>
      <c r="R130" s="36"/>
    </row>
    <row r="131" spans="1:18" x14ac:dyDescent="0.25">
      <c r="A131" s="50" t="s">
        <v>562</v>
      </c>
      <c r="B131" s="87">
        <v>532.71</v>
      </c>
      <c r="C131" s="543">
        <f>B131*'Energy Content Assumptions'!C24</f>
        <v>266.35500000000002</v>
      </c>
      <c r="D131" s="36"/>
      <c r="E131" s="36"/>
      <c r="F131" s="36"/>
      <c r="G131" s="36"/>
      <c r="H131" s="36"/>
      <c r="I131" s="36"/>
      <c r="J131" s="36"/>
      <c r="K131" s="36"/>
      <c r="L131" s="36"/>
      <c r="M131" s="36"/>
      <c r="N131" s="36"/>
      <c r="O131" s="36"/>
      <c r="P131" s="36"/>
      <c r="Q131" s="36"/>
      <c r="R131" s="36"/>
    </row>
    <row r="132" spans="1:18" x14ac:dyDescent="0.25">
      <c r="A132" s="50" t="s">
        <v>563</v>
      </c>
      <c r="B132" s="87">
        <v>862.04</v>
      </c>
      <c r="C132" s="543">
        <f>B132*'Energy Content Assumptions'!C31</f>
        <v>215.51</v>
      </c>
      <c r="D132" s="36"/>
      <c r="E132" s="36"/>
      <c r="F132" s="36"/>
      <c r="G132" s="36"/>
      <c r="H132" s="36"/>
      <c r="I132" s="36"/>
      <c r="J132" s="36"/>
      <c r="K132" s="36"/>
      <c r="L132" s="36"/>
      <c r="M132" s="36"/>
      <c r="N132" s="36"/>
      <c r="O132" s="36"/>
      <c r="P132" s="36"/>
      <c r="Q132" s="36"/>
      <c r="R132" s="36"/>
    </row>
    <row r="133" spans="1:18" x14ac:dyDescent="0.25">
      <c r="A133" s="50" t="s">
        <v>564</v>
      </c>
      <c r="B133" s="87">
        <v>11.46</v>
      </c>
      <c r="C133" s="543">
        <f>B133*'Energy Content Assumptions'!C19</f>
        <v>10.314000000000002</v>
      </c>
      <c r="D133" s="36"/>
      <c r="E133" s="36"/>
      <c r="F133" s="36"/>
      <c r="G133" s="36"/>
      <c r="H133" s="36"/>
      <c r="I133" s="36"/>
      <c r="J133" s="36"/>
      <c r="K133" s="36"/>
      <c r="L133" s="36"/>
      <c r="M133" s="36"/>
      <c r="N133" s="36"/>
      <c r="O133" s="36"/>
      <c r="P133" s="36"/>
      <c r="Q133" s="36"/>
      <c r="R133" s="36"/>
    </row>
    <row r="134" spans="1:18" x14ac:dyDescent="0.25">
      <c r="A134" s="50" t="s">
        <v>565</v>
      </c>
      <c r="B134" s="87">
        <v>5867.78</v>
      </c>
      <c r="C134" s="543">
        <f>B134*'Energy Content Assumptions'!C32</f>
        <v>4694.2240000000002</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Assumptions'!$M$24</f>
        <v>351586.53</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Assumptions'!$F$24</f>
        <v>246392.77</v>
      </c>
      <c r="C138" s="543">
        <f>B138*'Energy Content Assumptions'!$C$28</f>
        <v>123196.38499999999</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Assumptions'!$H$24</f>
        <v>46828.9</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Assumptions'!$I$24</f>
        <v>199563.87</v>
      </c>
      <c r="C140" s="543">
        <f>B140*'Energy Content Assumptions'!$C$28</f>
        <v>99781.934999999998</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Assumptions'!J24,'Biomass Data Assumptions'!F24*'Biomass Data Assumptions'!I41)</f>
        <v>31571.004234</v>
      </c>
      <c r="C141" s="543">
        <f>B141*'Energy Content Assumptions'!C26</f>
        <v>9471.3012701999996</v>
      </c>
      <c r="D141" s="36"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Assumptions'!K24,'Biomass Data Assumptions'!F24*'Biomass Data Assumptions'!I42)</f>
        <v>38815.172715000001</v>
      </c>
      <c r="C142" s="543">
        <f>B142*'Energy Content Assumptions'!C27</f>
        <v>34933.6554435</v>
      </c>
      <c r="D142" s="36"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Assumptions'!L24,'Biomass Data Assumptions'!F24*'Biomass Data Assumptions'!I43)</f>
        <v>53742.550190999995</v>
      </c>
      <c r="C143" s="543">
        <f>B143*'Energy Content Assumptions'!$C$28</f>
        <v>26871.275095499997</v>
      </c>
      <c r="D143" s="546" t="s">
        <v>1064</v>
      </c>
      <c r="E143" s="36"/>
      <c r="F143" s="36"/>
      <c r="G143" s="36"/>
      <c r="H143" s="36"/>
      <c r="I143" s="36"/>
      <c r="J143" s="36"/>
      <c r="K143" s="36"/>
      <c r="L143" s="36"/>
      <c r="M143" s="36"/>
      <c r="N143" s="36"/>
      <c r="O143" s="36"/>
      <c r="P143" s="36"/>
      <c r="Q143" s="36"/>
      <c r="R143" s="36"/>
    </row>
    <row r="144" spans="1:18" x14ac:dyDescent="0.25">
      <c r="A144" s="50" t="s">
        <v>463</v>
      </c>
      <c r="B144" s="87">
        <v>103787.97</v>
      </c>
      <c r="C144" s="543">
        <f>B144*'Energy Content Assumptions'!C29</f>
        <v>83030.376000000004</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33212.150400000006</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Assumptions'!R24/2000</f>
        <v>1423.1536000000001</v>
      </c>
      <c r="C148" s="1239">
        <f>B148*'Energy Content Assumptions'!C39</f>
        <v>1209.68056</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Assumptions'!S24/2000</f>
        <v>2162.2231399999996</v>
      </c>
      <c r="C149" s="1239">
        <f>B149*'Energy Content Assumptions'!C40</f>
        <v>108.11115699999999</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W64"/>
  <sheetViews>
    <sheetView topLeftCell="E32" zoomScaleNormal="100" workbookViewId="0">
      <selection activeCell="H62" sqref="H62"/>
    </sheetView>
  </sheetViews>
  <sheetFormatPr defaultColWidth="8.88671875" defaultRowHeight="13.2" x14ac:dyDescent="0.25"/>
  <cols>
    <col min="1" max="1" width="46.6640625" customWidth="1"/>
    <col min="2" max="2" width="23.33203125" customWidth="1"/>
    <col min="3" max="3" width="12.44140625" customWidth="1"/>
    <col min="4" max="4" width="12" customWidth="1"/>
    <col min="5" max="5" width="9.6640625" customWidth="1"/>
    <col min="6" max="6" width="18.6640625" customWidth="1"/>
    <col min="7" max="7" width="17.88671875" customWidth="1"/>
    <col min="8" max="11" width="18.6640625" customWidth="1"/>
    <col min="12" max="12" width="70.6640625" customWidth="1"/>
  </cols>
  <sheetData>
    <row r="1" spans="1:23" ht="13.8" thickBot="1" x14ac:dyDescent="0.3">
      <c r="A1" s="120" t="s">
        <v>287</v>
      </c>
      <c r="C1" s="91"/>
      <c r="D1" s="91"/>
      <c r="E1" s="91"/>
      <c r="F1" s="91"/>
      <c r="G1" s="91"/>
      <c r="H1" s="91"/>
      <c r="I1" s="91"/>
      <c r="J1" s="91"/>
      <c r="K1" s="91"/>
      <c r="L1" s="91"/>
      <c r="V1" t="s">
        <v>410</v>
      </c>
      <c r="W1" t="s">
        <v>294</v>
      </c>
    </row>
    <row r="2" spans="1:23" ht="25.5" customHeight="1" x14ac:dyDescent="0.25">
      <c r="A2" s="93" t="s">
        <v>265</v>
      </c>
      <c r="B2" s="101" t="s">
        <v>1324</v>
      </c>
      <c r="C2" s="101" t="s">
        <v>155</v>
      </c>
      <c r="D2" s="101" t="s">
        <v>157</v>
      </c>
      <c r="E2" s="101" t="s">
        <v>156</v>
      </c>
      <c r="F2" s="720" t="s">
        <v>1309</v>
      </c>
      <c r="G2" s="1062" t="s">
        <v>1035</v>
      </c>
      <c r="H2" s="720" t="s">
        <v>1554</v>
      </c>
      <c r="I2" s="720" t="s">
        <v>1555</v>
      </c>
      <c r="J2" s="720" t="s">
        <v>1556</v>
      </c>
      <c r="K2" s="720" t="s">
        <v>1557</v>
      </c>
      <c r="L2" s="102" t="s">
        <v>430</v>
      </c>
      <c r="V2" t="s">
        <v>411</v>
      </c>
      <c r="W2" t="s">
        <v>293</v>
      </c>
    </row>
    <row r="3" spans="1:23" x14ac:dyDescent="0.25">
      <c r="A3" s="660" t="s">
        <v>238</v>
      </c>
      <c r="B3" s="1"/>
      <c r="C3" s="1"/>
      <c r="D3" s="1"/>
      <c r="E3" s="1"/>
      <c r="F3" s="721"/>
      <c r="G3" s="1063"/>
      <c r="H3" s="721"/>
      <c r="I3" s="721"/>
      <c r="J3" s="721"/>
      <c r="K3" s="721"/>
      <c r="L3" s="96"/>
      <c r="V3" t="s">
        <v>292</v>
      </c>
    </row>
    <row r="4" spans="1:23" x14ac:dyDescent="0.25">
      <c r="A4" s="567" t="s">
        <v>519</v>
      </c>
      <c r="B4" s="92">
        <f>C4*D4*E4</f>
        <v>0</v>
      </c>
      <c r="C4" s="90">
        <v>1</v>
      </c>
      <c r="D4" s="90">
        <v>1</v>
      </c>
      <c r="E4" s="90">
        <v>0</v>
      </c>
      <c r="F4" s="90"/>
      <c r="G4" s="1036">
        <f>'Bioenergy Calculator'!C9</f>
        <v>7465.3571999999995</v>
      </c>
      <c r="H4" s="1036">
        <f>$G4*(1-C4)</f>
        <v>0</v>
      </c>
      <c r="I4" s="1036">
        <f>($G4-H4)*(1-D4)</f>
        <v>0</v>
      </c>
      <c r="J4" s="1036">
        <f>($G4-H4-I4)*(1-E4)</f>
        <v>7465.3571999999995</v>
      </c>
      <c r="K4" s="1041">
        <f>G4-H4-I4-J4</f>
        <v>0</v>
      </c>
      <c r="L4" s="1086" t="s">
        <v>984</v>
      </c>
      <c r="N4" s="29"/>
      <c r="O4" s="29"/>
      <c r="P4" s="29"/>
    </row>
    <row r="5" spans="1:23" x14ac:dyDescent="0.25">
      <c r="A5" s="567" t="s">
        <v>520</v>
      </c>
      <c r="B5" s="92">
        <f t="shared" ref="B5:B52" si="0">C5*D5*E5</f>
        <v>0</v>
      </c>
      <c r="C5" s="90">
        <v>1</v>
      </c>
      <c r="D5" s="90">
        <v>1</v>
      </c>
      <c r="E5" s="90">
        <v>0</v>
      </c>
      <c r="F5" s="90"/>
      <c r="G5" s="1036">
        <f>'Bioenergy Calculator'!C10</f>
        <v>8030.0220000000018</v>
      </c>
      <c r="H5" s="1036">
        <f t="shared" ref="H5:H9" si="1">$G5*(1-C5)</f>
        <v>0</v>
      </c>
      <c r="I5" s="1036">
        <f t="shared" ref="I5:I52" si="2">($G5-H5)*(1-D5)</f>
        <v>0</v>
      </c>
      <c r="J5" s="1036">
        <f t="shared" ref="J5:J52" si="3">($G5-H5-I5)*(1-E5)</f>
        <v>8030.0220000000018</v>
      </c>
      <c r="K5" s="1041">
        <f t="shared" ref="K5:K9" si="4">G5-H5-I5-J5</f>
        <v>0</v>
      </c>
      <c r="L5" s="1087"/>
      <c r="N5" s="29"/>
      <c r="O5" s="29"/>
      <c r="P5" s="29"/>
    </row>
    <row r="6" spans="1:23" x14ac:dyDescent="0.25">
      <c r="A6" s="567" t="s">
        <v>521</v>
      </c>
      <c r="B6" s="92">
        <f t="shared" si="0"/>
        <v>0</v>
      </c>
      <c r="C6" s="90">
        <v>1</v>
      </c>
      <c r="D6" s="90">
        <v>1</v>
      </c>
      <c r="E6" s="90">
        <v>0</v>
      </c>
      <c r="F6" s="90"/>
      <c r="G6" s="1036">
        <f>'Bioenergy Calculator'!C11</f>
        <v>217668.5</v>
      </c>
      <c r="H6" s="1036">
        <f t="shared" si="1"/>
        <v>0</v>
      </c>
      <c r="I6" s="1036">
        <f t="shared" si="2"/>
        <v>0</v>
      </c>
      <c r="J6" s="1036">
        <f t="shared" si="3"/>
        <v>217668.5</v>
      </c>
      <c r="K6" s="1041">
        <f t="shared" si="4"/>
        <v>0</v>
      </c>
      <c r="L6" s="1087"/>
      <c r="N6" s="29"/>
      <c r="O6" s="29"/>
      <c r="P6" s="29"/>
    </row>
    <row r="7" spans="1:23" x14ac:dyDescent="0.25">
      <c r="A7" s="567" t="s">
        <v>522</v>
      </c>
      <c r="B7" s="92">
        <f t="shared" si="0"/>
        <v>0</v>
      </c>
      <c r="C7" s="90">
        <v>1</v>
      </c>
      <c r="D7" s="90">
        <v>1</v>
      </c>
      <c r="E7" s="90">
        <v>0</v>
      </c>
      <c r="F7" s="90"/>
      <c r="G7" s="1036">
        <f>'Bioenergy Calculator'!C12</f>
        <v>42085.979999999996</v>
      </c>
      <c r="H7" s="1036">
        <f t="shared" si="1"/>
        <v>0</v>
      </c>
      <c r="I7" s="1036">
        <f t="shared" si="2"/>
        <v>0</v>
      </c>
      <c r="J7" s="1036">
        <f t="shared" si="3"/>
        <v>42085.979999999996</v>
      </c>
      <c r="K7" s="1041">
        <f t="shared" si="4"/>
        <v>0</v>
      </c>
      <c r="L7" s="1088"/>
      <c r="N7" s="29"/>
      <c r="O7" s="29"/>
      <c r="P7" s="29"/>
    </row>
    <row r="8" spans="1:23" x14ac:dyDescent="0.25">
      <c r="A8" s="521" t="s">
        <v>311</v>
      </c>
      <c r="B8" s="92">
        <f t="shared" si="0"/>
        <v>0.5</v>
      </c>
      <c r="C8" s="90">
        <v>1</v>
      </c>
      <c r="D8" s="90">
        <v>1</v>
      </c>
      <c r="E8" s="90">
        <v>0.5</v>
      </c>
      <c r="F8" s="90"/>
      <c r="G8" s="1036">
        <f>'Bioenergy Calculator'!C13</f>
        <v>0</v>
      </c>
      <c r="H8" s="1036">
        <f t="shared" si="1"/>
        <v>0</v>
      </c>
      <c r="I8" s="1036">
        <f t="shared" si="2"/>
        <v>0</v>
      </c>
      <c r="J8" s="1036">
        <f t="shared" si="3"/>
        <v>0</v>
      </c>
      <c r="K8" s="1041">
        <f t="shared" si="4"/>
        <v>0</v>
      </c>
      <c r="L8" s="655"/>
      <c r="N8" s="29"/>
      <c r="O8" s="29"/>
      <c r="P8" s="29"/>
    </row>
    <row r="9" spans="1:23" x14ac:dyDescent="0.25">
      <c r="A9" s="521" t="s">
        <v>507</v>
      </c>
      <c r="B9" s="92">
        <f t="shared" si="0"/>
        <v>1</v>
      </c>
      <c r="C9" s="90">
        <v>1</v>
      </c>
      <c r="D9" s="90">
        <v>1</v>
      </c>
      <c r="E9" s="90">
        <v>1</v>
      </c>
      <c r="F9" s="90"/>
      <c r="G9" s="1036">
        <v>0</v>
      </c>
      <c r="H9" s="1036">
        <f t="shared" si="1"/>
        <v>0</v>
      </c>
      <c r="I9" s="1036">
        <f t="shared" si="2"/>
        <v>0</v>
      </c>
      <c r="J9" s="1036">
        <f t="shared" si="3"/>
        <v>0</v>
      </c>
      <c r="K9" s="1041">
        <f t="shared" si="4"/>
        <v>0</v>
      </c>
      <c r="L9" s="655" t="s">
        <v>237</v>
      </c>
      <c r="N9" s="29"/>
      <c r="O9" s="29"/>
      <c r="P9" s="29"/>
    </row>
    <row r="10" spans="1:23" ht="38.25" customHeight="1" x14ac:dyDescent="0.25">
      <c r="A10" s="660" t="s">
        <v>1314</v>
      </c>
      <c r="B10" s="1"/>
      <c r="C10" s="2"/>
      <c r="D10" s="2"/>
      <c r="E10" s="2"/>
      <c r="F10" s="2"/>
      <c r="G10" s="113"/>
      <c r="H10" s="113"/>
      <c r="I10" s="1046"/>
      <c r="J10" s="1046"/>
      <c r="K10" s="1042"/>
      <c r="L10" s="718" t="s">
        <v>988</v>
      </c>
      <c r="M10" s="384"/>
      <c r="N10" s="3"/>
      <c r="O10" s="3"/>
      <c r="P10" s="3"/>
    </row>
    <row r="11" spans="1:23" x14ac:dyDescent="0.25">
      <c r="A11" s="567" t="s">
        <v>527</v>
      </c>
      <c r="B11" s="92">
        <f t="shared" si="0"/>
        <v>0.8</v>
      </c>
      <c r="C11" s="25">
        <v>0.8</v>
      </c>
      <c r="D11" s="25">
        <v>1</v>
      </c>
      <c r="E11" s="25">
        <v>1</v>
      </c>
      <c r="F11" s="25"/>
      <c r="G11" s="1037">
        <f>'Bioenergy Calculator'!C18</f>
        <v>5257.25</v>
      </c>
      <c r="H11" s="1037">
        <f>$G11*(1-C11)</f>
        <v>1051.4499999999998</v>
      </c>
      <c r="I11" s="1036">
        <f t="shared" si="2"/>
        <v>0</v>
      </c>
      <c r="J11" s="1036">
        <f t="shared" si="3"/>
        <v>0</v>
      </c>
      <c r="K11" s="1041">
        <f>G11-H11-I11-J11</f>
        <v>4205.8</v>
      </c>
      <c r="L11" s="655" t="s">
        <v>986</v>
      </c>
      <c r="N11" s="308"/>
      <c r="O11" s="308"/>
      <c r="P11" s="308"/>
    </row>
    <row r="12" spans="1:23" x14ac:dyDescent="0.25">
      <c r="A12" s="567" t="s">
        <v>520</v>
      </c>
      <c r="B12" s="92">
        <f t="shared" si="0"/>
        <v>0</v>
      </c>
      <c r="C12" s="25">
        <v>0.9</v>
      </c>
      <c r="D12" s="25">
        <v>1</v>
      </c>
      <c r="E12" s="25">
        <v>0</v>
      </c>
      <c r="F12" s="25"/>
      <c r="G12" s="1037">
        <f>'Bioenergy Calculator'!C19</f>
        <v>28106.1</v>
      </c>
      <c r="H12" s="1037">
        <f t="shared" ref="H12:H19" si="5">$G12*(1-C12)</f>
        <v>2810.6099999999992</v>
      </c>
      <c r="I12" s="1036">
        <f t="shared" si="2"/>
        <v>0</v>
      </c>
      <c r="J12" s="1036">
        <f t="shared" si="3"/>
        <v>25295.489999999998</v>
      </c>
      <c r="K12" s="1041">
        <v>0</v>
      </c>
      <c r="L12" s="655" t="s">
        <v>985</v>
      </c>
      <c r="M12" s="344"/>
      <c r="N12" s="654"/>
      <c r="O12" s="654"/>
      <c r="P12" s="308"/>
    </row>
    <row r="13" spans="1:23" x14ac:dyDescent="0.25">
      <c r="A13" s="567" t="s">
        <v>521</v>
      </c>
      <c r="B13" s="92">
        <f t="shared" si="0"/>
        <v>0.85</v>
      </c>
      <c r="C13" s="25">
        <v>0.85</v>
      </c>
      <c r="D13" s="25">
        <v>1</v>
      </c>
      <c r="E13" s="25">
        <v>1</v>
      </c>
      <c r="F13" s="25"/>
      <c r="G13" s="1037">
        <f>'Bioenergy Calculator'!C20</f>
        <v>132134.625</v>
      </c>
      <c r="H13" s="1037">
        <f t="shared" si="5"/>
        <v>19820.193750000002</v>
      </c>
      <c r="I13" s="1036">
        <f t="shared" si="2"/>
        <v>0</v>
      </c>
      <c r="J13" s="1036">
        <f t="shared" si="3"/>
        <v>0</v>
      </c>
      <c r="K13" s="1041">
        <f t="shared" ref="K13:K19" si="6">G13-H13-I13-J13</f>
        <v>112314.43124999999</v>
      </c>
      <c r="L13" s="655" t="s">
        <v>986</v>
      </c>
      <c r="M13" s="344"/>
      <c r="N13" s="654"/>
      <c r="O13" s="654"/>
      <c r="P13" s="308"/>
    </row>
    <row r="14" spans="1:23" x14ac:dyDescent="0.25">
      <c r="A14" s="567" t="s">
        <v>519</v>
      </c>
      <c r="B14" s="92">
        <f t="shared" si="0"/>
        <v>0.75</v>
      </c>
      <c r="C14" s="25">
        <v>0.75</v>
      </c>
      <c r="D14" s="25">
        <v>1</v>
      </c>
      <c r="E14" s="25">
        <v>1</v>
      </c>
      <c r="F14" s="25"/>
      <c r="G14" s="1037">
        <f>'Bioenergy Calculator'!C21</f>
        <v>69075.159999999989</v>
      </c>
      <c r="H14" s="1037">
        <f t="shared" si="5"/>
        <v>17268.789999999997</v>
      </c>
      <c r="I14" s="1036">
        <f t="shared" si="2"/>
        <v>0</v>
      </c>
      <c r="J14" s="1036">
        <f t="shared" si="3"/>
        <v>0</v>
      </c>
      <c r="K14" s="1041">
        <f t="shared" si="6"/>
        <v>51806.369999999995</v>
      </c>
      <c r="L14" s="655" t="s">
        <v>986</v>
      </c>
      <c r="M14" s="344"/>
      <c r="N14" s="654"/>
      <c r="O14" s="654"/>
      <c r="P14" s="308"/>
    </row>
    <row r="15" spans="1:23" x14ac:dyDescent="0.25">
      <c r="A15" s="567" t="s">
        <v>529</v>
      </c>
      <c r="B15" s="92">
        <f t="shared" si="0"/>
        <v>0</v>
      </c>
      <c r="C15" s="25">
        <v>1</v>
      </c>
      <c r="D15" s="25">
        <v>1</v>
      </c>
      <c r="E15" s="25">
        <v>0</v>
      </c>
      <c r="F15" s="25"/>
      <c r="G15" s="1037">
        <f>'Bioenergy Calculator'!C22</f>
        <v>84725.28</v>
      </c>
      <c r="H15" s="1037">
        <f t="shared" si="5"/>
        <v>0</v>
      </c>
      <c r="I15" s="1036">
        <f t="shared" si="2"/>
        <v>0</v>
      </c>
      <c r="J15" s="1036">
        <f t="shared" si="3"/>
        <v>84725.28</v>
      </c>
      <c r="K15" s="1041">
        <f t="shared" si="6"/>
        <v>0</v>
      </c>
      <c r="L15" s="655"/>
      <c r="M15" s="344"/>
      <c r="N15" s="699"/>
      <c r="O15" s="699"/>
      <c r="P15" s="308"/>
    </row>
    <row r="16" spans="1:23" x14ac:dyDescent="0.25">
      <c r="A16" s="567" t="s">
        <v>530</v>
      </c>
      <c r="B16" s="92">
        <f t="shared" si="0"/>
        <v>0.5</v>
      </c>
      <c r="C16" s="25">
        <v>1</v>
      </c>
      <c r="D16" s="25">
        <v>1</v>
      </c>
      <c r="E16" s="25">
        <v>0.5</v>
      </c>
      <c r="F16" s="25"/>
      <c r="G16" s="1037">
        <f>'Bioenergy Calculator'!C23</f>
        <v>135337.25499999998</v>
      </c>
      <c r="H16" s="1037">
        <f t="shared" si="5"/>
        <v>0</v>
      </c>
      <c r="I16" s="1036">
        <f t="shared" si="2"/>
        <v>0</v>
      </c>
      <c r="J16" s="1036">
        <f t="shared" si="3"/>
        <v>67668.627499999988</v>
      </c>
      <c r="K16" s="1041">
        <f t="shared" si="6"/>
        <v>67668.627499999988</v>
      </c>
      <c r="L16" s="655" t="s">
        <v>987</v>
      </c>
      <c r="M16" s="344"/>
      <c r="N16" s="654"/>
      <c r="O16" s="654"/>
      <c r="P16" s="308"/>
    </row>
    <row r="17" spans="1:16" x14ac:dyDescent="0.25">
      <c r="A17" s="567" t="s">
        <v>522</v>
      </c>
      <c r="B17" s="92">
        <f t="shared" si="0"/>
        <v>0</v>
      </c>
      <c r="C17" s="25">
        <v>0.9</v>
      </c>
      <c r="D17" s="25">
        <v>1</v>
      </c>
      <c r="E17" s="25">
        <v>0</v>
      </c>
      <c r="F17" s="25"/>
      <c r="G17" s="1037">
        <f>'Bioenergy Calculator'!C24</f>
        <v>38846.062499999993</v>
      </c>
      <c r="H17" s="1037">
        <f t="shared" si="5"/>
        <v>3884.6062499999985</v>
      </c>
      <c r="I17" s="1036">
        <f t="shared" si="2"/>
        <v>0</v>
      </c>
      <c r="J17" s="1036">
        <f t="shared" si="3"/>
        <v>34961.456249999996</v>
      </c>
      <c r="K17" s="1041">
        <v>0</v>
      </c>
      <c r="L17" s="655" t="s">
        <v>985</v>
      </c>
      <c r="M17" s="344"/>
      <c r="N17" s="654"/>
      <c r="O17" s="654"/>
      <c r="P17" s="308"/>
    </row>
    <row r="18" spans="1:16" x14ac:dyDescent="0.25">
      <c r="A18" s="846" t="s">
        <v>205</v>
      </c>
      <c r="B18" s="92">
        <f t="shared" si="0"/>
        <v>0.5</v>
      </c>
      <c r="C18" s="25">
        <v>0.5</v>
      </c>
      <c r="D18" s="25">
        <v>1</v>
      </c>
      <c r="E18" s="25">
        <v>1</v>
      </c>
      <c r="F18" s="25"/>
      <c r="G18" s="1037">
        <f>'Bioenergy Calculator'!C25</f>
        <v>916426</v>
      </c>
      <c r="H18" s="1037">
        <f t="shared" si="5"/>
        <v>458213</v>
      </c>
      <c r="I18" s="1036">
        <f t="shared" si="2"/>
        <v>0</v>
      </c>
      <c r="J18" s="1036">
        <f t="shared" si="3"/>
        <v>0</v>
      </c>
      <c r="K18" s="1041">
        <f t="shared" si="6"/>
        <v>458213</v>
      </c>
      <c r="L18" s="655" t="s">
        <v>584</v>
      </c>
      <c r="M18" s="344"/>
      <c r="N18" s="654"/>
      <c r="O18" s="654"/>
      <c r="P18" s="308"/>
    </row>
    <row r="19" spans="1:16" x14ac:dyDescent="0.25">
      <c r="A19" s="521" t="s">
        <v>302</v>
      </c>
      <c r="B19" s="92">
        <f t="shared" si="0"/>
        <v>1</v>
      </c>
      <c r="C19" s="571">
        <v>1</v>
      </c>
      <c r="D19" s="571">
        <v>1</v>
      </c>
      <c r="E19" s="571">
        <v>1</v>
      </c>
      <c r="F19" s="571"/>
      <c r="G19" s="1037">
        <f>'Bioenergy Calculator'!C26</f>
        <v>125562.10000000002</v>
      </c>
      <c r="H19" s="1037">
        <f t="shared" si="5"/>
        <v>0</v>
      </c>
      <c r="I19" s="1036">
        <f t="shared" si="2"/>
        <v>0</v>
      </c>
      <c r="J19" s="1036">
        <f t="shared" si="3"/>
        <v>0</v>
      </c>
      <c r="K19" s="1041">
        <f t="shared" si="6"/>
        <v>125562.10000000002</v>
      </c>
      <c r="L19" s="719" t="s">
        <v>237</v>
      </c>
      <c r="N19" s="308"/>
      <c r="O19" s="308"/>
      <c r="P19" s="308"/>
    </row>
    <row r="20" spans="1:16" x14ac:dyDescent="0.25">
      <c r="A20" s="660" t="s">
        <v>1134</v>
      </c>
      <c r="B20" s="1"/>
      <c r="C20" s="2"/>
      <c r="D20" s="2"/>
      <c r="E20" s="2"/>
      <c r="F20" s="2"/>
      <c r="G20" s="113"/>
      <c r="H20" s="113"/>
      <c r="I20" s="1046"/>
      <c r="J20" s="1046"/>
      <c r="K20" s="1042"/>
      <c r="L20" s="655"/>
      <c r="N20" s="3"/>
      <c r="O20" s="3"/>
      <c r="P20" s="3"/>
    </row>
    <row r="21" spans="1:16" ht="25.5" customHeight="1" x14ac:dyDescent="0.25">
      <c r="A21" s="567" t="s">
        <v>559</v>
      </c>
      <c r="B21" s="92">
        <f t="shared" si="0"/>
        <v>1</v>
      </c>
      <c r="C21" s="26">
        <v>1</v>
      </c>
      <c r="D21" s="26">
        <v>1</v>
      </c>
      <c r="E21" s="26">
        <v>1</v>
      </c>
      <c r="F21" s="26">
        <v>0.8</v>
      </c>
      <c r="G21" s="1039">
        <f>'Bioenergy Calculator'!C28</f>
        <v>268796.86500000005</v>
      </c>
      <c r="H21" s="1038">
        <f>$G21*(1-C21)</f>
        <v>0</v>
      </c>
      <c r="I21" s="1036">
        <f t="shared" si="2"/>
        <v>0</v>
      </c>
      <c r="J21" s="1036">
        <f t="shared" si="3"/>
        <v>0</v>
      </c>
      <c r="K21" s="1041">
        <f>G21-H21-I21-J21</f>
        <v>268796.86500000005</v>
      </c>
      <c r="L21" s="718" t="s">
        <v>1312</v>
      </c>
      <c r="M21" s="384"/>
      <c r="N21" s="309"/>
      <c r="O21" s="309"/>
      <c r="P21" s="309"/>
    </row>
    <row r="22" spans="1:16" ht="25.5" customHeight="1" x14ac:dyDescent="0.25">
      <c r="A22" s="567" t="s">
        <v>560</v>
      </c>
      <c r="B22" s="92">
        <f t="shared" si="0"/>
        <v>1</v>
      </c>
      <c r="C22" s="26">
        <v>1</v>
      </c>
      <c r="D22" s="26">
        <v>1</v>
      </c>
      <c r="E22" s="26">
        <v>1</v>
      </c>
      <c r="F22" s="26">
        <v>0.2</v>
      </c>
      <c r="G22" s="1039">
        <f>'Bioenergy Calculator'!C29</f>
        <v>41283.739999999991</v>
      </c>
      <c r="H22" s="1038">
        <f t="shared" ref="H22:H24" si="7">$G22*(1-C22)</f>
        <v>0</v>
      </c>
      <c r="I22" s="1036">
        <f t="shared" si="2"/>
        <v>0</v>
      </c>
      <c r="J22" s="1036">
        <f t="shared" si="3"/>
        <v>0</v>
      </c>
      <c r="K22" s="1041">
        <f t="shared" ref="K22:K24" si="8">G22-H22-I22-J22</f>
        <v>41283.739999999991</v>
      </c>
      <c r="L22" s="718" t="s">
        <v>1312</v>
      </c>
      <c r="M22" s="384"/>
      <c r="N22" s="309"/>
      <c r="O22" s="309"/>
      <c r="P22" s="309"/>
    </row>
    <row r="23" spans="1:16" ht="25.5" customHeight="1" x14ac:dyDescent="0.25">
      <c r="A23" s="567" t="s">
        <v>561</v>
      </c>
      <c r="B23" s="92">
        <f t="shared" si="0"/>
        <v>1</v>
      </c>
      <c r="C23" s="26">
        <v>1</v>
      </c>
      <c r="D23" s="26">
        <v>1</v>
      </c>
      <c r="E23" s="26">
        <v>1</v>
      </c>
      <c r="F23" s="26">
        <v>0.75</v>
      </c>
      <c r="G23" s="1039">
        <f>'Bioenergy Calculator'!C30</f>
        <v>253054.92333333328</v>
      </c>
      <c r="H23" s="1038">
        <f t="shared" si="7"/>
        <v>0</v>
      </c>
      <c r="I23" s="1036">
        <f t="shared" si="2"/>
        <v>0</v>
      </c>
      <c r="J23" s="1036">
        <f t="shared" si="3"/>
        <v>0</v>
      </c>
      <c r="K23" s="1041">
        <f t="shared" si="8"/>
        <v>253054.92333333328</v>
      </c>
      <c r="L23" s="718" t="s">
        <v>1312</v>
      </c>
      <c r="N23" s="309"/>
      <c r="O23" s="309"/>
      <c r="P23" s="309"/>
    </row>
    <row r="24" spans="1:16" ht="25.5" customHeight="1" x14ac:dyDescent="0.25">
      <c r="A24" s="567" t="s">
        <v>562</v>
      </c>
      <c r="B24" s="92">
        <f t="shared" si="0"/>
        <v>1</v>
      </c>
      <c r="C24" s="26">
        <v>1</v>
      </c>
      <c r="D24" s="26">
        <v>1</v>
      </c>
      <c r="E24" s="26">
        <v>1</v>
      </c>
      <c r="F24" s="26">
        <v>0.35</v>
      </c>
      <c r="G24" s="1039">
        <f>'Bioenergy Calculator'!C31</f>
        <v>25855.429999999997</v>
      </c>
      <c r="H24" s="1038">
        <f t="shared" si="7"/>
        <v>0</v>
      </c>
      <c r="I24" s="1036">
        <f t="shared" si="2"/>
        <v>0</v>
      </c>
      <c r="J24" s="1036">
        <f t="shared" si="3"/>
        <v>0</v>
      </c>
      <c r="K24" s="1041">
        <f t="shared" si="8"/>
        <v>25855.429999999997</v>
      </c>
      <c r="L24" s="718" t="s">
        <v>1312</v>
      </c>
      <c r="N24" s="506"/>
      <c r="O24" s="309"/>
      <c r="P24" s="309"/>
    </row>
    <row r="25" spans="1:16" x14ac:dyDescent="0.25">
      <c r="A25" s="660" t="str">
        <f>'Bioenergy Calculator'!B34</f>
        <v>Solid wastes - Landfilled</v>
      </c>
      <c r="B25" s="1"/>
      <c r="C25" s="2"/>
      <c r="D25" s="2"/>
      <c r="E25" s="2"/>
      <c r="F25" s="2"/>
      <c r="G25" s="113"/>
      <c r="H25" s="113"/>
      <c r="I25" s="1046"/>
      <c r="J25" s="1046"/>
      <c r="K25" s="1042"/>
      <c r="L25" s="655"/>
      <c r="N25" s="3"/>
      <c r="O25" s="3"/>
      <c r="P25" s="3"/>
    </row>
    <row r="26" spans="1:16" x14ac:dyDescent="0.25">
      <c r="A26" s="567" t="str">
        <f>'Bioenergy Calculator'!B35</f>
        <v>Food waste, Landfilled</v>
      </c>
      <c r="B26" s="92">
        <f>C26*D26*E26</f>
        <v>0.60000000000000009</v>
      </c>
      <c r="C26" s="26">
        <v>1</v>
      </c>
      <c r="D26" s="26">
        <v>0.75</v>
      </c>
      <c r="E26" s="26">
        <v>0.8</v>
      </c>
      <c r="F26" s="26"/>
      <c r="G26" s="1039">
        <f>'Bioenergy Calculator'!C35</f>
        <v>214286.55948329999</v>
      </c>
      <c r="H26" s="1039">
        <f>$G26*(1-C26)</f>
        <v>0</v>
      </c>
      <c r="I26" s="1036">
        <f t="shared" si="2"/>
        <v>53571.639870824998</v>
      </c>
      <c r="J26" s="1036">
        <f t="shared" si="3"/>
        <v>32142.983922494994</v>
      </c>
      <c r="K26" s="1041">
        <f>G26-H26-I26-J26</f>
        <v>128571.93568998</v>
      </c>
      <c r="L26" s="655" t="s">
        <v>1293</v>
      </c>
      <c r="N26" s="309"/>
      <c r="O26" s="309"/>
      <c r="P26" s="309"/>
    </row>
    <row r="27" spans="1:16" x14ac:dyDescent="0.25">
      <c r="A27" s="567" t="str">
        <f>'Bioenergy Calculator'!B36</f>
        <v>Waste paper, Landfilled</v>
      </c>
      <c r="B27" s="92">
        <f t="shared" si="0"/>
        <v>0.8</v>
      </c>
      <c r="C27" s="26">
        <v>1</v>
      </c>
      <c r="D27" s="26">
        <v>1</v>
      </c>
      <c r="E27" s="26">
        <v>0.8</v>
      </c>
      <c r="F27" s="26"/>
      <c r="G27" s="1039">
        <f>'Bioenergy Calculator'!C36</f>
        <v>779660.5427775</v>
      </c>
      <c r="H27" s="1039">
        <f t="shared" ref="H27:H29" si="9">$G27*(1-C27)</f>
        <v>0</v>
      </c>
      <c r="I27" s="1036">
        <f t="shared" si="2"/>
        <v>0</v>
      </c>
      <c r="J27" s="1036">
        <f t="shared" si="3"/>
        <v>155932.10855549996</v>
      </c>
      <c r="K27" s="1041">
        <f t="shared" ref="K27:K29" si="10">G27-H27-I27-J27</f>
        <v>623728.43422200007</v>
      </c>
      <c r="L27" s="655" t="s">
        <v>89</v>
      </c>
      <c r="N27" s="309"/>
      <c r="O27" s="309"/>
      <c r="P27" s="309"/>
    </row>
    <row r="28" spans="1:16" x14ac:dyDescent="0.25">
      <c r="A28" s="567" t="str">
        <f>'Bioenergy Calculator'!B37</f>
        <v>Other Biomass, Landfilled</v>
      </c>
      <c r="B28" s="92">
        <f>C28*D28*E28</f>
        <v>0.72000000000000008</v>
      </c>
      <c r="C28" s="26">
        <v>1</v>
      </c>
      <c r="D28" s="26">
        <v>0.9</v>
      </c>
      <c r="E28" s="26">
        <v>0.8</v>
      </c>
      <c r="F28" s="26"/>
      <c r="G28" s="1039">
        <f>'Bioenergy Calculator'!C37</f>
        <v>599721.74855750019</v>
      </c>
      <c r="H28" s="1039">
        <f t="shared" si="9"/>
        <v>0</v>
      </c>
      <c r="I28" s="1036">
        <f t="shared" si="2"/>
        <v>59972.174855750003</v>
      </c>
      <c r="J28" s="1036">
        <f t="shared" si="3"/>
        <v>107949.91474035001</v>
      </c>
      <c r="K28" s="1041">
        <f t="shared" si="10"/>
        <v>431799.65896140016</v>
      </c>
      <c r="L28" s="655" t="s">
        <v>1293</v>
      </c>
    </row>
    <row r="29" spans="1:16" x14ac:dyDescent="0.25">
      <c r="A29" s="845" t="s">
        <v>1313</v>
      </c>
      <c r="B29" s="92">
        <f>C29*D29*E29</f>
        <v>0.64000000000000012</v>
      </c>
      <c r="C29" s="26">
        <v>1</v>
      </c>
      <c r="D29" s="26">
        <v>0.8</v>
      </c>
      <c r="E29" s="26">
        <v>0.8</v>
      </c>
      <c r="F29" s="26"/>
      <c r="G29" s="1039">
        <f>'Bioenergy Calculator'!C38</f>
        <v>582995.8208000001</v>
      </c>
      <c r="H29" s="1039">
        <f t="shared" si="9"/>
        <v>0</v>
      </c>
      <c r="I29" s="1036">
        <f t="shared" si="2"/>
        <v>116599.16416</v>
      </c>
      <c r="J29" s="1036">
        <f t="shared" si="3"/>
        <v>93279.331328</v>
      </c>
      <c r="K29" s="1041">
        <f t="shared" si="10"/>
        <v>373117.32531200012</v>
      </c>
      <c r="L29" s="655" t="s">
        <v>1293</v>
      </c>
      <c r="N29" s="309"/>
      <c r="O29" s="309"/>
      <c r="P29" s="309"/>
    </row>
    <row r="30" spans="1:16" x14ac:dyDescent="0.25">
      <c r="A30" s="568" t="s">
        <v>280</v>
      </c>
      <c r="B30" s="1"/>
      <c r="C30" s="2"/>
      <c r="D30" s="2"/>
      <c r="E30" s="2"/>
      <c r="F30" s="2"/>
      <c r="G30" s="113"/>
      <c r="H30" s="113"/>
      <c r="I30" s="1046"/>
      <c r="J30" s="1046"/>
      <c r="K30" s="1042"/>
      <c r="L30" s="655"/>
      <c r="N30" s="3"/>
      <c r="O30" s="3"/>
      <c r="P30" s="3"/>
    </row>
    <row r="31" spans="1:16" x14ac:dyDescent="0.25">
      <c r="A31" s="567" t="s">
        <v>563</v>
      </c>
      <c r="B31" s="92">
        <f>C31*D31*E31</f>
        <v>1</v>
      </c>
      <c r="C31" s="26">
        <v>1</v>
      </c>
      <c r="D31" s="26">
        <v>1</v>
      </c>
      <c r="E31" s="26">
        <v>1</v>
      </c>
      <c r="F31" s="26"/>
      <c r="G31" s="1039">
        <f>'Bioenergy Calculator'!C40</f>
        <v>66877.455000000016</v>
      </c>
      <c r="H31" s="1039">
        <f>$G31*(1-C31)</f>
        <v>0</v>
      </c>
      <c r="I31" s="1036">
        <f t="shared" si="2"/>
        <v>0</v>
      </c>
      <c r="J31" s="1036">
        <f t="shared" si="3"/>
        <v>0</v>
      </c>
      <c r="K31" s="1041">
        <f>G31-H31-I31-J31</f>
        <v>66877.455000000016</v>
      </c>
      <c r="L31" s="655" t="s">
        <v>237</v>
      </c>
      <c r="N31" s="309"/>
      <c r="O31" s="309"/>
      <c r="P31" s="309"/>
    </row>
    <row r="32" spans="1:16" x14ac:dyDescent="0.25">
      <c r="A32" s="567" t="s">
        <v>565</v>
      </c>
      <c r="B32" s="92">
        <f>C32*D32*E32</f>
        <v>0.5</v>
      </c>
      <c r="C32" s="26">
        <v>1</v>
      </c>
      <c r="D32" s="26">
        <v>1</v>
      </c>
      <c r="E32" s="26">
        <v>0.5</v>
      </c>
      <c r="F32" s="26"/>
      <c r="G32" s="1039">
        <f>'Bioenergy Calculator'!C41</f>
        <v>129506.64000000003</v>
      </c>
      <c r="H32" s="1039">
        <f t="shared" ref="H32:H36" si="11">$G32*(1-C32)</f>
        <v>0</v>
      </c>
      <c r="I32" s="1036">
        <f t="shared" si="2"/>
        <v>0</v>
      </c>
      <c r="J32" s="1036">
        <f t="shared" si="3"/>
        <v>64753.320000000014</v>
      </c>
      <c r="K32" s="1041">
        <f t="shared" ref="K32:K36" si="12">G32-H32-I32-J32</f>
        <v>64753.320000000014</v>
      </c>
      <c r="L32" s="655" t="s">
        <v>1293</v>
      </c>
      <c r="N32" s="309"/>
      <c r="O32" s="309"/>
      <c r="P32" s="309"/>
    </row>
    <row r="33" spans="1:16" x14ac:dyDescent="0.25">
      <c r="A33" s="569" t="s">
        <v>555</v>
      </c>
      <c r="B33" s="92">
        <f t="shared" si="0"/>
        <v>0</v>
      </c>
      <c r="C33" s="26">
        <v>1</v>
      </c>
      <c r="D33" s="26">
        <v>1</v>
      </c>
      <c r="E33" s="26">
        <v>0</v>
      </c>
      <c r="F33" s="26"/>
      <c r="G33" s="1039">
        <f>'Bioenergy Calculator'!C42</f>
        <v>736575.51599999995</v>
      </c>
      <c r="H33" s="1039">
        <f t="shared" si="11"/>
        <v>0</v>
      </c>
      <c r="I33" s="1036">
        <f t="shared" si="2"/>
        <v>0</v>
      </c>
      <c r="J33" s="1036">
        <f t="shared" si="3"/>
        <v>736575.51599999995</v>
      </c>
      <c r="K33" s="1041">
        <f t="shared" si="12"/>
        <v>0</v>
      </c>
      <c r="L33" s="655" t="s">
        <v>1293</v>
      </c>
      <c r="N33" s="309"/>
      <c r="O33" s="309"/>
      <c r="P33" s="309"/>
    </row>
    <row r="34" spans="1:16" x14ac:dyDescent="0.25">
      <c r="A34" s="569" t="s">
        <v>556</v>
      </c>
      <c r="B34" s="92">
        <f t="shared" si="0"/>
        <v>0</v>
      </c>
      <c r="C34" s="26">
        <v>1</v>
      </c>
      <c r="D34" s="26">
        <v>1</v>
      </c>
      <c r="E34" s="26">
        <v>0</v>
      </c>
      <c r="F34" s="26"/>
      <c r="G34" s="1039">
        <f>'Bioenergy Calculator'!C43</f>
        <v>174898.71000000002</v>
      </c>
      <c r="H34" s="1039">
        <f t="shared" si="11"/>
        <v>0</v>
      </c>
      <c r="I34" s="1036">
        <f t="shared" si="2"/>
        <v>0</v>
      </c>
      <c r="J34" s="1036">
        <f t="shared" si="3"/>
        <v>174898.71000000002</v>
      </c>
      <c r="K34" s="1041">
        <f t="shared" si="12"/>
        <v>0</v>
      </c>
      <c r="L34" s="655" t="s">
        <v>1293</v>
      </c>
      <c r="N34" s="309"/>
      <c r="O34" s="309"/>
      <c r="P34" s="309"/>
    </row>
    <row r="35" spans="1:16" x14ac:dyDescent="0.25">
      <c r="A35" s="569" t="s">
        <v>557</v>
      </c>
      <c r="B35" s="92">
        <f t="shared" si="0"/>
        <v>0</v>
      </c>
      <c r="C35" s="26">
        <v>1</v>
      </c>
      <c r="D35" s="26">
        <v>1</v>
      </c>
      <c r="E35" s="26">
        <v>0</v>
      </c>
      <c r="F35" s="26"/>
      <c r="G35" s="1039">
        <f>'Bioenergy Calculator'!C44</f>
        <v>269912.304</v>
      </c>
      <c r="H35" s="1039">
        <f t="shared" si="11"/>
        <v>0</v>
      </c>
      <c r="I35" s="1036">
        <f t="shared" si="2"/>
        <v>0</v>
      </c>
      <c r="J35" s="1036">
        <f t="shared" si="3"/>
        <v>269912.304</v>
      </c>
      <c r="K35" s="1041">
        <f t="shared" si="12"/>
        <v>0</v>
      </c>
      <c r="L35" s="655" t="s">
        <v>1293</v>
      </c>
      <c r="N35" s="309"/>
      <c r="O35" s="309"/>
      <c r="P35" s="309"/>
    </row>
    <row r="36" spans="1:16" x14ac:dyDescent="0.25">
      <c r="A36" s="569" t="s">
        <v>558</v>
      </c>
      <c r="B36" s="92">
        <f t="shared" si="0"/>
        <v>1</v>
      </c>
      <c r="C36" s="26">
        <v>1</v>
      </c>
      <c r="D36" s="26">
        <v>1</v>
      </c>
      <c r="E36" s="26">
        <v>1</v>
      </c>
      <c r="F36" s="26"/>
      <c r="G36" s="1039">
        <f>'Bioenergy Calculator'!C45</f>
        <v>147228.67800000004</v>
      </c>
      <c r="H36" s="1039">
        <f t="shared" si="11"/>
        <v>0</v>
      </c>
      <c r="I36" s="1036">
        <f t="shared" si="2"/>
        <v>0</v>
      </c>
      <c r="J36" s="1036">
        <f t="shared" si="3"/>
        <v>0</v>
      </c>
      <c r="K36" s="1041">
        <f t="shared" si="12"/>
        <v>147228.67800000004</v>
      </c>
      <c r="L36" s="655" t="s">
        <v>237</v>
      </c>
      <c r="N36" s="309"/>
      <c r="O36" s="309"/>
      <c r="P36" s="309"/>
    </row>
    <row r="37" spans="1:16" x14ac:dyDescent="0.25">
      <c r="A37" s="521" t="s">
        <v>510</v>
      </c>
      <c r="B37" s="1"/>
      <c r="C37" s="2"/>
      <c r="D37" s="2"/>
      <c r="E37" s="2"/>
      <c r="F37" s="2"/>
      <c r="G37" s="113"/>
      <c r="H37" s="113"/>
      <c r="I37" s="1046"/>
      <c r="J37" s="1046"/>
      <c r="K37" s="1042"/>
      <c r="L37" s="655"/>
      <c r="N37" s="3"/>
      <c r="O37" s="3"/>
      <c r="P37" s="3"/>
    </row>
    <row r="38" spans="1:16" x14ac:dyDescent="0.25">
      <c r="A38" s="567" t="s">
        <v>525</v>
      </c>
      <c r="B38" s="92">
        <f t="shared" si="0"/>
        <v>1</v>
      </c>
      <c r="C38" s="90">
        <v>1</v>
      </c>
      <c r="D38" s="90">
        <v>1</v>
      </c>
      <c r="E38" s="90">
        <v>1</v>
      </c>
      <c r="F38" s="90"/>
      <c r="G38" s="1040">
        <f>'Bioenergy Calculator'!C49</f>
        <v>78859.199999999997</v>
      </c>
      <c r="H38" s="1040">
        <f>$G38*(1-C38)</f>
        <v>0</v>
      </c>
      <c r="I38" s="1036">
        <f t="shared" si="2"/>
        <v>0</v>
      </c>
      <c r="J38" s="1036">
        <f t="shared" si="3"/>
        <v>0</v>
      </c>
      <c r="K38" s="1041">
        <f>G38-H38-I38-J38</f>
        <v>78859.199999999997</v>
      </c>
      <c r="L38" s="655" t="s">
        <v>237</v>
      </c>
      <c r="N38" s="29"/>
      <c r="O38" s="29"/>
      <c r="P38" s="29"/>
    </row>
    <row r="39" spans="1:16" x14ac:dyDescent="0.25">
      <c r="A39" s="521" t="s">
        <v>508</v>
      </c>
      <c r="B39" s="92">
        <f t="shared" si="0"/>
        <v>0.5</v>
      </c>
      <c r="C39" s="90">
        <v>1</v>
      </c>
      <c r="D39" s="90">
        <v>1</v>
      </c>
      <c r="E39" s="90">
        <v>0.5</v>
      </c>
      <c r="F39" s="90"/>
      <c r="G39" s="1040">
        <f>'Bioenergy Calculator'!C50</f>
        <v>32881.683560000005</v>
      </c>
      <c r="H39" s="1040">
        <f t="shared" ref="H39:H40" si="13">$G39*(1-C39)</f>
        <v>0</v>
      </c>
      <c r="I39" s="1036">
        <f t="shared" si="2"/>
        <v>0</v>
      </c>
      <c r="J39" s="1036">
        <f t="shared" si="3"/>
        <v>16440.841780000002</v>
      </c>
      <c r="K39" s="1041">
        <f t="shared" ref="K39:K40" si="14">G39-H39-I39-J39</f>
        <v>16440.841780000002</v>
      </c>
      <c r="L39" s="655" t="s">
        <v>1293</v>
      </c>
      <c r="N39" s="29"/>
      <c r="O39" s="29"/>
      <c r="P39" s="29"/>
    </row>
    <row r="40" spans="1:16" x14ac:dyDescent="0.25">
      <c r="A40" s="521" t="s">
        <v>509</v>
      </c>
      <c r="B40" s="92">
        <f t="shared" si="0"/>
        <v>1</v>
      </c>
      <c r="C40" s="90">
        <v>1</v>
      </c>
      <c r="D40" s="90">
        <v>1</v>
      </c>
      <c r="E40" s="90">
        <v>1</v>
      </c>
      <c r="F40" s="90"/>
      <c r="G40" s="1040">
        <f>'Bioenergy Calculator'!C51</f>
        <v>2938.6905694999996</v>
      </c>
      <c r="H40" s="1040">
        <f t="shared" si="13"/>
        <v>0</v>
      </c>
      <c r="I40" s="1036">
        <f t="shared" si="2"/>
        <v>0</v>
      </c>
      <c r="J40" s="1036">
        <f t="shared" si="3"/>
        <v>0</v>
      </c>
      <c r="K40" s="1041">
        <f t="shared" si="14"/>
        <v>2938.6905694999996</v>
      </c>
      <c r="L40" s="655" t="s">
        <v>237</v>
      </c>
      <c r="N40" s="29"/>
      <c r="O40" s="29"/>
      <c r="P40" s="29"/>
    </row>
    <row r="41" spans="1:16" x14ac:dyDescent="0.25">
      <c r="A41" s="521" t="s">
        <v>505</v>
      </c>
      <c r="B41" s="1"/>
      <c r="C41" s="2"/>
      <c r="D41" s="2"/>
      <c r="E41" s="2"/>
      <c r="F41" s="2"/>
      <c r="G41" s="113"/>
      <c r="H41" s="113"/>
      <c r="I41" s="1046"/>
      <c r="J41" s="1046"/>
      <c r="K41" s="1042"/>
      <c r="L41" s="655"/>
      <c r="N41" s="3"/>
      <c r="O41" s="3"/>
      <c r="P41" s="3"/>
    </row>
    <row r="42" spans="1:16" x14ac:dyDescent="0.25">
      <c r="A42" s="567" t="s">
        <v>535</v>
      </c>
      <c r="B42" s="92">
        <f t="shared" si="0"/>
        <v>0.2</v>
      </c>
      <c r="C42" s="90">
        <v>0.2</v>
      </c>
      <c r="D42" s="90">
        <v>1</v>
      </c>
      <c r="E42" s="90">
        <v>1</v>
      </c>
      <c r="F42" s="90"/>
      <c r="G42" s="1040">
        <f>'Bioenergy Calculator'!C55</f>
        <v>20937.1008</v>
      </c>
      <c r="H42" s="1040">
        <f>$G42*(1-C42)</f>
        <v>16749.680640000002</v>
      </c>
      <c r="I42" s="1036">
        <f t="shared" si="2"/>
        <v>0</v>
      </c>
      <c r="J42" s="1036">
        <f t="shared" si="3"/>
        <v>0</v>
      </c>
      <c r="K42" s="1041">
        <f>G42-H42-I42-J42</f>
        <v>4187.4201599999978</v>
      </c>
      <c r="L42" s="655" t="s">
        <v>1311</v>
      </c>
      <c r="N42" s="29"/>
      <c r="O42" s="29"/>
      <c r="P42" s="29"/>
    </row>
    <row r="43" spans="1:16" x14ac:dyDescent="0.25">
      <c r="A43" s="567" t="s">
        <v>539</v>
      </c>
      <c r="B43" s="92">
        <f t="shared" si="0"/>
        <v>0.6</v>
      </c>
      <c r="C43" s="90">
        <v>0.6</v>
      </c>
      <c r="D43" s="90">
        <v>1</v>
      </c>
      <c r="E43" s="90">
        <v>1</v>
      </c>
      <c r="F43" s="90"/>
      <c r="G43" s="1040">
        <f>'Bioenergy Calculator'!C56</f>
        <v>51657.106800000001</v>
      </c>
      <c r="H43" s="1040">
        <f t="shared" ref="H43:H52" si="15">$G43*(1-C43)</f>
        <v>20662.842720000001</v>
      </c>
      <c r="I43" s="1036">
        <f t="shared" si="2"/>
        <v>0</v>
      </c>
      <c r="J43" s="1036">
        <f t="shared" si="3"/>
        <v>0</v>
      </c>
      <c r="K43" s="1041">
        <f t="shared" ref="K43:K52" si="16">G43-H43-I43-J43</f>
        <v>30994.264080000001</v>
      </c>
      <c r="L43" s="655" t="s">
        <v>1311</v>
      </c>
      <c r="N43" s="29"/>
      <c r="O43" s="29"/>
      <c r="P43" s="29"/>
    </row>
    <row r="44" spans="1:16" x14ac:dyDescent="0.25">
      <c r="A44" s="567" t="s">
        <v>545</v>
      </c>
      <c r="B44" s="92">
        <f t="shared" si="0"/>
        <v>0.6</v>
      </c>
      <c r="C44" s="90">
        <v>0.6</v>
      </c>
      <c r="D44" s="90">
        <v>1</v>
      </c>
      <c r="E44" s="90">
        <v>1</v>
      </c>
      <c r="F44" s="90"/>
      <c r="G44" s="1040">
        <f>'Bioenergy Calculator'!C57</f>
        <v>109693.2556375</v>
      </c>
      <c r="H44" s="1040">
        <f t="shared" si="15"/>
        <v>43877.302255000002</v>
      </c>
      <c r="I44" s="1036">
        <f t="shared" si="2"/>
        <v>0</v>
      </c>
      <c r="J44" s="1036">
        <f t="shared" si="3"/>
        <v>0</v>
      </c>
      <c r="K44" s="1041">
        <f t="shared" si="16"/>
        <v>65815.953382499996</v>
      </c>
      <c r="L44" s="655" t="s">
        <v>1311</v>
      </c>
      <c r="N44" s="29"/>
      <c r="O44" s="29"/>
      <c r="P44" s="29"/>
    </row>
    <row r="45" spans="1:16" x14ac:dyDescent="0.25">
      <c r="A45" s="567" t="s">
        <v>546</v>
      </c>
      <c r="B45" s="92">
        <f t="shared" si="0"/>
        <v>0.2</v>
      </c>
      <c r="C45" s="90">
        <v>0.2</v>
      </c>
      <c r="D45" s="90">
        <v>1</v>
      </c>
      <c r="E45" s="90">
        <v>1</v>
      </c>
      <c r="F45" s="90"/>
      <c r="G45" s="1040">
        <f>'Bioenergy Calculator'!C58</f>
        <v>5393.7802000000001</v>
      </c>
      <c r="H45" s="1040">
        <f t="shared" si="15"/>
        <v>4315.0241599999999</v>
      </c>
      <c r="I45" s="1036">
        <f t="shared" si="2"/>
        <v>0</v>
      </c>
      <c r="J45" s="1036">
        <f t="shared" si="3"/>
        <v>0</v>
      </c>
      <c r="K45" s="1041">
        <f t="shared" si="16"/>
        <v>1078.7560400000002</v>
      </c>
      <c r="L45" s="655" t="s">
        <v>1311</v>
      </c>
      <c r="N45" s="29"/>
      <c r="O45" s="29"/>
      <c r="P45" s="29"/>
    </row>
    <row r="46" spans="1:16" x14ac:dyDescent="0.25">
      <c r="A46" s="567" t="s">
        <v>547</v>
      </c>
      <c r="B46" s="92">
        <f t="shared" si="0"/>
        <v>0.2</v>
      </c>
      <c r="C46" s="90">
        <v>0.2</v>
      </c>
      <c r="D46" s="90">
        <v>1</v>
      </c>
      <c r="E46" s="90">
        <v>1</v>
      </c>
      <c r="F46" s="90"/>
      <c r="G46" s="1040">
        <f>'Bioenergy Calculator'!C59</f>
        <v>2818.0098749999997</v>
      </c>
      <c r="H46" s="1040">
        <f t="shared" si="15"/>
        <v>2254.4078999999997</v>
      </c>
      <c r="I46" s="1036">
        <f t="shared" si="2"/>
        <v>0</v>
      </c>
      <c r="J46" s="1036">
        <f t="shared" si="3"/>
        <v>0</v>
      </c>
      <c r="K46" s="1041">
        <f t="shared" si="16"/>
        <v>563.60197500000004</v>
      </c>
      <c r="L46" s="655" t="s">
        <v>1311</v>
      </c>
      <c r="N46" s="29"/>
      <c r="O46" s="29"/>
      <c r="P46" s="29"/>
    </row>
    <row r="47" spans="1:16" x14ac:dyDescent="0.25">
      <c r="A47" s="567" t="s">
        <v>548</v>
      </c>
      <c r="B47" s="92">
        <f t="shared" si="0"/>
        <v>0.5</v>
      </c>
      <c r="C47" s="90">
        <v>0.5</v>
      </c>
      <c r="D47" s="90">
        <v>1</v>
      </c>
      <c r="E47" s="90">
        <v>1</v>
      </c>
      <c r="F47" s="90"/>
      <c r="G47" s="1040">
        <f>'Bioenergy Calculator'!C60</f>
        <v>3209.7005000000004</v>
      </c>
      <c r="H47" s="1040">
        <f t="shared" si="15"/>
        <v>1604.8502500000002</v>
      </c>
      <c r="I47" s="1036">
        <f t="shared" si="2"/>
        <v>0</v>
      </c>
      <c r="J47" s="1036">
        <f t="shared" si="3"/>
        <v>0</v>
      </c>
      <c r="K47" s="1041">
        <f t="shared" si="16"/>
        <v>1604.8502500000002</v>
      </c>
      <c r="L47" s="655" t="s">
        <v>1311</v>
      </c>
      <c r="N47" s="29"/>
      <c r="O47" s="29"/>
      <c r="P47" s="29"/>
    </row>
    <row r="48" spans="1:16" x14ac:dyDescent="0.25">
      <c r="A48" s="567" t="s">
        <v>551</v>
      </c>
      <c r="B48" s="92">
        <f t="shared" si="0"/>
        <v>1</v>
      </c>
      <c r="C48" s="90">
        <v>1</v>
      </c>
      <c r="D48" s="90">
        <v>1</v>
      </c>
      <c r="E48" s="90">
        <v>1</v>
      </c>
      <c r="F48" s="90"/>
      <c r="G48" s="1040">
        <f>'Bioenergy Calculator'!C61</f>
        <v>13053.494999999999</v>
      </c>
      <c r="H48" s="1040">
        <f t="shared" si="15"/>
        <v>0</v>
      </c>
      <c r="I48" s="1036">
        <f t="shared" si="2"/>
        <v>0</v>
      </c>
      <c r="J48" s="1036">
        <f t="shared" si="3"/>
        <v>0</v>
      </c>
      <c r="K48" s="1041">
        <f t="shared" si="16"/>
        <v>13053.494999999999</v>
      </c>
      <c r="L48" s="655" t="s">
        <v>1311</v>
      </c>
      <c r="N48" s="29"/>
      <c r="O48" s="29"/>
      <c r="P48" s="29"/>
    </row>
    <row r="49" spans="1:16" x14ac:dyDescent="0.25">
      <c r="A49" s="567" t="s">
        <v>552</v>
      </c>
      <c r="B49" s="92">
        <f t="shared" si="0"/>
        <v>1</v>
      </c>
      <c r="C49" s="90">
        <v>1</v>
      </c>
      <c r="D49" s="90">
        <v>1</v>
      </c>
      <c r="E49" s="90">
        <v>1</v>
      </c>
      <c r="F49" s="90"/>
      <c r="G49" s="1040">
        <f>'Bioenergy Calculator'!C62</f>
        <v>860.69053125000016</v>
      </c>
      <c r="H49" s="1040">
        <f t="shared" si="15"/>
        <v>0</v>
      </c>
      <c r="I49" s="1036">
        <f t="shared" si="2"/>
        <v>0</v>
      </c>
      <c r="J49" s="1036">
        <f t="shared" si="3"/>
        <v>0</v>
      </c>
      <c r="K49" s="1041">
        <f t="shared" si="16"/>
        <v>860.69053125000016</v>
      </c>
      <c r="L49" s="655" t="s">
        <v>1311</v>
      </c>
      <c r="N49" s="29"/>
      <c r="O49" s="29"/>
      <c r="P49" s="29"/>
    </row>
    <row r="50" spans="1:16" x14ac:dyDescent="0.25">
      <c r="A50" s="521" t="s">
        <v>305</v>
      </c>
      <c r="B50" s="92">
        <f>C50*D50*E50</f>
        <v>1</v>
      </c>
      <c r="C50" s="90">
        <v>1</v>
      </c>
      <c r="D50" s="90">
        <v>1</v>
      </c>
      <c r="E50" s="90">
        <v>1</v>
      </c>
      <c r="F50" s="90"/>
      <c r="G50" s="1040">
        <f>'Bioenergy Calculator'!C63</f>
        <v>127170.30800100001</v>
      </c>
      <c r="H50" s="1040">
        <f t="shared" si="15"/>
        <v>0</v>
      </c>
      <c r="I50" s="1036">
        <f t="shared" si="2"/>
        <v>0</v>
      </c>
      <c r="J50" s="1036">
        <f t="shared" si="3"/>
        <v>0</v>
      </c>
      <c r="K50" s="1041">
        <f t="shared" si="16"/>
        <v>127170.30800100001</v>
      </c>
      <c r="L50" s="655" t="s">
        <v>237</v>
      </c>
      <c r="N50" s="29"/>
      <c r="O50" s="29"/>
      <c r="P50" s="29"/>
    </row>
    <row r="51" spans="1:16" x14ac:dyDescent="0.25">
      <c r="A51" s="521" t="s">
        <v>304</v>
      </c>
      <c r="B51" s="92">
        <f t="shared" si="0"/>
        <v>1</v>
      </c>
      <c r="C51" s="90">
        <v>1</v>
      </c>
      <c r="D51" s="90">
        <v>1</v>
      </c>
      <c r="E51" s="90">
        <v>1</v>
      </c>
      <c r="F51" s="90"/>
      <c r="G51" s="1040">
        <f>'Bioenergy Calculator'!C66*(1000000/29487.1582406855)</f>
        <v>115686.60648157111</v>
      </c>
      <c r="H51" s="1040">
        <f t="shared" si="15"/>
        <v>0</v>
      </c>
      <c r="I51" s="1036">
        <f t="shared" si="2"/>
        <v>0</v>
      </c>
      <c r="J51" s="1036">
        <f t="shared" si="3"/>
        <v>0</v>
      </c>
      <c r="K51" s="1041">
        <f t="shared" si="16"/>
        <v>115686.60648157111</v>
      </c>
      <c r="L51" s="655" t="s">
        <v>169</v>
      </c>
      <c r="N51" s="29"/>
      <c r="O51" s="29"/>
      <c r="P51" s="29"/>
    </row>
    <row r="52" spans="1:16" ht="13.8" thickBot="1" x14ac:dyDescent="0.3">
      <c r="A52" s="570" t="s">
        <v>512</v>
      </c>
      <c r="B52" s="111">
        <f t="shared" si="0"/>
        <v>1</v>
      </c>
      <c r="C52" s="656">
        <v>1</v>
      </c>
      <c r="D52" s="656">
        <v>1</v>
      </c>
      <c r="E52" s="656">
        <v>1</v>
      </c>
      <c r="F52" s="656">
        <v>0.75</v>
      </c>
      <c r="G52" s="1036">
        <f>'Bioenergy Calculator'!C67*(1000000/25364.5039539246)</f>
        <v>401922.83996540587</v>
      </c>
      <c r="H52" s="1045">
        <f t="shared" si="15"/>
        <v>0</v>
      </c>
      <c r="I52" s="1036">
        <f t="shared" si="2"/>
        <v>0</v>
      </c>
      <c r="J52" s="1036">
        <f t="shared" si="3"/>
        <v>0</v>
      </c>
      <c r="K52" s="1043">
        <f t="shared" si="16"/>
        <v>401922.83996540587</v>
      </c>
      <c r="L52" s="1044" t="s">
        <v>168</v>
      </c>
      <c r="N52" s="29"/>
      <c r="O52" s="29"/>
      <c r="P52" s="29"/>
    </row>
    <row r="53" spans="1:16" x14ac:dyDescent="0.25">
      <c r="G53" s="1048" t="s">
        <v>220</v>
      </c>
      <c r="H53" s="1047">
        <f>SUM(H4:H52)</f>
        <v>592512.75792500004</v>
      </c>
      <c r="I53" s="1047">
        <f t="shared" ref="I53:K53" si="17">SUM(I4:I52)</f>
        <v>230142.978886575</v>
      </c>
      <c r="J53" s="1047">
        <f t="shared" si="17"/>
        <v>2139785.7432763446</v>
      </c>
      <c r="K53" s="1047">
        <f t="shared" si="17"/>
        <v>4106015.6124849413</v>
      </c>
    </row>
    <row r="55" spans="1:16" x14ac:dyDescent="0.25">
      <c r="B55" s="20" t="s">
        <v>369</v>
      </c>
    </row>
    <row r="56" spans="1:16" x14ac:dyDescent="0.25">
      <c r="A56" t="s">
        <v>295</v>
      </c>
      <c r="B56" s="320" t="s">
        <v>292</v>
      </c>
      <c r="D56" t="s">
        <v>1133</v>
      </c>
    </row>
    <row r="57" spans="1:16" x14ac:dyDescent="0.25">
      <c r="A57" s="121" t="s">
        <v>519</v>
      </c>
      <c r="B57" s="58" t="s">
        <v>293</v>
      </c>
    </row>
    <row r="58" spans="1:16" x14ac:dyDescent="0.25">
      <c r="A58" s="63" t="s">
        <v>527</v>
      </c>
      <c r="B58" s="58" t="s">
        <v>293</v>
      </c>
    </row>
    <row r="59" spans="1:16" x14ac:dyDescent="0.25">
      <c r="A59" s="63" t="s">
        <v>520</v>
      </c>
      <c r="B59" s="58" t="s">
        <v>293</v>
      </c>
    </row>
    <row r="60" spans="1:16" x14ac:dyDescent="0.25">
      <c r="A60" s="63" t="s">
        <v>521</v>
      </c>
      <c r="B60" s="58" t="s">
        <v>293</v>
      </c>
    </row>
    <row r="61" spans="1:16" x14ac:dyDescent="0.25">
      <c r="A61" s="63" t="s">
        <v>528</v>
      </c>
      <c r="B61" s="58" t="s">
        <v>293</v>
      </c>
    </row>
    <row r="62" spans="1:16" x14ac:dyDescent="0.25">
      <c r="A62" s="63" t="s">
        <v>529</v>
      </c>
      <c r="B62" s="58" t="s">
        <v>293</v>
      </c>
    </row>
    <row r="63" spans="1:16" x14ac:dyDescent="0.25">
      <c r="A63" s="63" t="s">
        <v>530</v>
      </c>
      <c r="B63" s="58" t="s">
        <v>293</v>
      </c>
      <c r="E63" s="134"/>
      <c r="F63" s="134"/>
      <c r="G63" s="134"/>
      <c r="H63" s="134"/>
      <c r="I63" s="134"/>
      <c r="J63" s="134"/>
      <c r="K63" s="134"/>
    </row>
    <row r="64" spans="1:16" x14ac:dyDescent="0.25">
      <c r="A64" s="63" t="s">
        <v>522</v>
      </c>
      <c r="B64" s="58" t="s">
        <v>293</v>
      </c>
    </row>
  </sheetData>
  <mergeCells count="2">
    <mergeCell ref="L4:L7"/>
    <mergeCell ref="G2:G3"/>
  </mergeCells>
  <phoneticPr fontId="0" type="noConversion"/>
  <dataValidations count="2">
    <dataValidation type="list" allowBlank="1" showInputMessage="1" showErrorMessage="1" sqref="B56">
      <formula1>$V$1:$V$3</formula1>
    </dataValidation>
    <dataValidation type="list" allowBlank="1" showInputMessage="1" showErrorMessage="1" sqref="B57:B64">
      <formula1>$W$1:$W$2</formula1>
    </dataValidation>
  </dataValidations>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S199"/>
  <sheetViews>
    <sheetView topLeftCell="A97"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573</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2012</v>
      </c>
      <c r="F4" s="22">
        <v>2015</v>
      </c>
      <c r="G4" s="22">
        <v>2020</v>
      </c>
      <c r="H4" s="22">
        <v>2025</v>
      </c>
      <c r="I4" s="22">
        <v>2012</v>
      </c>
      <c r="J4" s="22">
        <v>2015</v>
      </c>
      <c r="K4" s="22">
        <v>2020</v>
      </c>
      <c r="L4" s="22">
        <v>2025</v>
      </c>
      <c r="M4" s="22">
        <v>2012</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146.27199999999999</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129.94800000000001</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9058</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79.38</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9413.5999999999985</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278.8</v>
      </c>
      <c r="D15" s="294">
        <f>E15*'Conversion Tables'!C14</f>
        <v>3508.86528</v>
      </c>
      <c r="E15" s="294">
        <f>C15*'Prac. Rec. Assumptions'!B11</f>
        <v>223.04000000000002</v>
      </c>
      <c r="F15" s="294">
        <f>$E15</f>
        <v>223.04000000000002</v>
      </c>
      <c r="G15" s="294">
        <f>$E15</f>
        <v>223.04000000000002</v>
      </c>
      <c r="H15" s="294">
        <f>$E15</f>
        <v>223.04000000000002</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485.77499999999998</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5499.5</v>
      </c>
      <c r="D17" s="294">
        <f>E17*'Conversion Tables'!C16</f>
        <v>73540.4139</v>
      </c>
      <c r="E17" s="294">
        <f>C17*'Prac. Rec. Assumptions'!B13</f>
        <v>4674.5749999999998</v>
      </c>
      <c r="F17" s="294">
        <f t="shared" si="2"/>
        <v>4674.5749999999998</v>
      </c>
      <c r="G17" s="294">
        <f t="shared" si="2"/>
        <v>4674.5749999999998</v>
      </c>
      <c r="H17" s="294">
        <f t="shared" si="2"/>
        <v>4674.5749999999998</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13890.8</v>
      </c>
      <c r="D18" s="294">
        <f>E18*'Conversion Tables'!C17</f>
        <v>163897.54919999998</v>
      </c>
      <c r="E18" s="294">
        <f>C18*'Prac. Rec. Assumptions'!B14</f>
        <v>10418.099999999999</v>
      </c>
      <c r="F18" s="294">
        <f t="shared" si="2"/>
        <v>10418.099999999999</v>
      </c>
      <c r="G18" s="294">
        <f t="shared" si="2"/>
        <v>10418.099999999999</v>
      </c>
      <c r="H18" s="294">
        <f t="shared" si="2"/>
        <v>10418.099999999999</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15381.6</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21479.924999999999</v>
      </c>
      <c r="D20" s="294">
        <f>E20*'Conversion Tables'!C19</f>
        <v>167543.41499999998</v>
      </c>
      <c r="E20" s="294">
        <f>C20*'Prac. Rec. Assumptions'!B16</f>
        <v>10739.9625</v>
      </c>
      <c r="F20" s="294">
        <f t="shared" si="2"/>
        <v>10739.9625</v>
      </c>
      <c r="G20" s="294">
        <f t="shared" si="2"/>
        <v>10739.9625</v>
      </c>
      <c r="H20" s="294">
        <f t="shared" si="2"/>
        <v>10739.9625</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72.887500000000003</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Assumptions'!P25*1000*'Energy Content Assumptions'!C18</f>
        <v>89546</v>
      </c>
      <c r="D22" s="294">
        <f>E22*'Conversion Tables'!C21</f>
        <v>698458.79999999993</v>
      </c>
      <c r="E22" s="294">
        <f>C22*'Prac. Rec. Assumptions'!B18</f>
        <v>44773</v>
      </c>
      <c r="F22" s="294">
        <f t="shared" si="2"/>
        <v>44773</v>
      </c>
      <c r="G22" s="294">
        <f t="shared" si="2"/>
        <v>44773</v>
      </c>
      <c r="H22" s="294">
        <f t="shared" si="2"/>
        <v>44773</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48.03</v>
      </c>
      <c r="D23" s="294">
        <f>E23*'Conversion Tables'!C22</f>
        <v>784.61807999999996</v>
      </c>
      <c r="E23" s="294">
        <f>C23*'Prac. Rec. Assumptions'!B19</f>
        <v>48.03</v>
      </c>
      <c r="F23" s="297">
        <f t="shared" si="2"/>
        <v>48.03</v>
      </c>
      <c r="G23" s="297">
        <f t="shared" si="2"/>
        <v>48.03</v>
      </c>
      <c r="H23" s="297">
        <f t="shared" si="2"/>
        <v>48.03</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2214.2550000000001</v>
      </c>
      <c r="D25" s="294">
        <f>E25*'Conversion Tables'!C24</f>
        <v>39192.313500000004</v>
      </c>
      <c r="E25" s="294">
        <f>C25*'Prac. Rec. Assumptions'!B21</f>
        <v>2214.2550000000001</v>
      </c>
      <c r="F25" s="294">
        <f>($C25*(1+'Biomass Data Assumptions'!G$110))*'Prac. Rec. Assumptions'!$B21</f>
        <v>2280.0683916776752</v>
      </c>
      <c r="G25" s="294">
        <f>($C25*(1+'Biomass Data Assumptions'!H$110))*'Prac. Rec. Assumptions'!$B21</f>
        <v>2369.2821003963008</v>
      </c>
      <c r="H25" s="294">
        <f>($C25*(1+'Biomass Data Assumptions'!I$110))*'Prac. Rec. Assumptions'!$B21</f>
        <v>2413.1576948480847</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49.129999999999995</v>
      </c>
      <c r="D26" s="294">
        <f>E26*'Conversion Tables'!C25</f>
        <v>766.42799999999988</v>
      </c>
      <c r="E26" s="294">
        <f>C26*'Prac. Rec. Assumptions'!B22</f>
        <v>49.129999999999995</v>
      </c>
      <c r="F26" s="294">
        <f>($C26*(1+'Biomass Data Assumptions'!G$110))*'Prac. Rec. Assumptions'!$B22</f>
        <v>50.590270805812409</v>
      </c>
      <c r="G26" s="294">
        <f>($C26*(1+'Biomass Data Assumptions'!H$110))*'Prac. Rec. Assumptions'!$B22</f>
        <v>52.569749009247019</v>
      </c>
      <c r="H26" s="294">
        <f>($C26*(1+'Biomass Data Assumptions'!I$110))*'Prac. Rec. Assumptions'!$B22</f>
        <v>53.543262879788635</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817.44333333333327</v>
      </c>
      <c r="D27" s="294">
        <f>E27*'Conversion Tables'!C26</f>
        <v>12752.115999999998</v>
      </c>
      <c r="E27" s="294">
        <f>C27*'Prac. Rec. Assumptions'!B23</f>
        <v>817.44333333333327</v>
      </c>
      <c r="F27" s="294">
        <f>($C27*(1+'Biomass Data Assumptions'!G$110))*'Prac. Rec. Assumptions'!$B23</f>
        <v>841.73986569793033</v>
      </c>
      <c r="G27" s="294">
        <f>($C27*(1+'Biomass Data Assumptions'!H$110))*'Prac. Rec. Assumptions'!$B23</f>
        <v>874.67516512549525</v>
      </c>
      <c r="H27" s="294">
        <f>($C27*(1+'Biomass Data Assumptions'!I$110))*'Prac. Rec. Assumptions'!$B23</f>
        <v>890.87285336856007</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1316.66</v>
      </c>
      <c r="D28" s="294">
        <f>E28*'Conversion Tables'!C27</f>
        <v>23304.882000000001</v>
      </c>
      <c r="E28" s="294">
        <f>C28*'Prac. Rec. Assumptions'!B24</f>
        <v>1316.66</v>
      </c>
      <c r="F28" s="294">
        <f>($C28*(1+'Biomass Data Assumptions'!G$110))*'Prac. Rec. Assumptions'!$B24</f>
        <v>1355.7945442536329</v>
      </c>
      <c r="G28" s="294">
        <f>($C28*(1+'Biomass Data Assumptions'!H$110))*'Prac. Rec. Assumptions'!$B24</f>
        <v>1408.8435931307793</v>
      </c>
      <c r="H28" s="294">
        <f>($C28*(1+'Biomass Data Assumptions'!I$110))*'Prac. Rec. Assumptions'!$B24</f>
        <v>1434.933289299868</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151080.80583333332</v>
      </c>
      <c r="D29" s="295">
        <f>SUM(D13:D28)</f>
        <v>1183749.4009599998</v>
      </c>
      <c r="E29" s="295">
        <f t="shared" si="3"/>
        <v>75274.195833333331</v>
      </c>
      <c r="F29" s="295">
        <f>SUM(F13:F28)</f>
        <v>75404.900572435043</v>
      </c>
      <c r="G29" s="295">
        <f>SUM(G13:G28)</f>
        <v>75582.0781076618</v>
      </c>
      <c r="H29" s="295">
        <f>SUM(H13:H28)</f>
        <v>75669.214600396284</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3573.9729269999998</v>
      </c>
      <c r="D32" s="294">
        <f>E32*'Conversion Tables'!C29</f>
        <v>34310.140099200005</v>
      </c>
      <c r="E32" s="294">
        <f>C32*'Prac. Rec. Assumptions'!B26</f>
        <v>2144.3837562000003</v>
      </c>
      <c r="F32" s="294">
        <f>($C32*(1+'Biomass Data Assumptions'!G$110)*(1+'Biomass Data Assumptions'!C$82))*'Prac. Rec. Assumptions'!$B26</f>
        <v>2206.6211251087607</v>
      </c>
      <c r="G32" s="294">
        <f>($C32*(1+'Biomass Data Assumptions'!H$110)*(1+'Biomass Data Assumptions'!D$82))*'Prac. Rec. Assumptions'!$B26</f>
        <v>2291.4041416486139</v>
      </c>
      <c r="H32" s="294">
        <f>($C32*(1+'Biomass Data Assumptions'!I$110)*(1+'Biomass Data Assumptions'!E$82))*'Prac. Rec. Assumptions'!$B26</f>
        <v>2332.252923810408</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13182.1314975</v>
      </c>
      <c r="D33" s="294">
        <f>E33*'Conversion Tables'!C30</f>
        <v>153144.73088535602</v>
      </c>
      <c r="E33" s="294">
        <f>C33*'Prac. Rec. Assumptions'!B27</f>
        <v>10545.705198000001</v>
      </c>
      <c r="F33" s="294">
        <f>($C33*(1+'Biomass Data Assumptions'!G$110)*(1+'Biomass Data Assumptions'!C$82))*'Prac. Rec. Assumptions'!$B27</f>
        <v>10851.777720193524</v>
      </c>
      <c r="G33" s="294">
        <f>($C33*(1+'Biomass Data Assumptions'!H$110)*(1+'Biomass Data Assumptions'!D$82))*'Prac. Rec. Assumptions'!$B27</f>
        <v>11268.725804062082</v>
      </c>
      <c r="H33" s="294">
        <f>($C33*(1+'Biomass Data Assumptions'!I$110)*(1+'Biomass Data Assumptions'!E$82))*'Prac. Rec. Assumptions'!$B27</f>
        <v>11469.612988144738</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10139.811517499998</v>
      </c>
      <c r="D34" s="294">
        <f>E34*'Conversion Tables'!C31</f>
        <v>106020.2468571372</v>
      </c>
      <c r="E34" s="294">
        <f>C34*'Prac. Rec. Assumptions'!B28</f>
        <v>7300.6642925999995</v>
      </c>
      <c r="F34" s="294">
        <f>($C34*(1+'Biomass Data Assumptions'!G$110)*(1+'Biomass Data Assumptions'!C$82))*'Prac. Rec. Assumptions'!$B28</f>
        <v>7512.5546016661074</v>
      </c>
      <c r="G34" s="294">
        <f>($C34*(1+'Biomass Data Assumptions'!H$110)*(1+'Biomass Data Assumptions'!D$82))*'Prac. Rec. Assumptions'!$B28</f>
        <v>7801.2027224522326</v>
      </c>
      <c r="H34" s="294">
        <f>($C34*(1+'Biomass Data Assumptions'!I$110)*(1+'Biomass Data Assumptions'!E$82))*'Prac. Rec. Assumptions'!$B28</f>
        <v>7940.2744928210213</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3522.5440000000003</v>
      </c>
      <c r="D35" s="294">
        <f>E35*'Conversion Tables'!C32</f>
        <v>39903.378432000012</v>
      </c>
      <c r="E35" s="294">
        <f>C35*'Prac. Rec. Assumptions'!B29</f>
        <v>2254.4281600000008</v>
      </c>
      <c r="F35" s="294">
        <f>($C35*(1+'Biomass Data Assumptions'!G$110)*(1+'Biomass Data Assumptions'!C$83))*'Prac. Rec. Assumptions'!$B29</f>
        <v>2437.99742138491</v>
      </c>
      <c r="G35" s="294">
        <f>($C35*(1+'Biomass Data Assumptions'!H$110)*(1+'Biomass Data Assumptions'!D$83))*'Prac. Rec. Assumptions'!$B29</f>
        <v>2660.5948288418363</v>
      </c>
      <c r="H35" s="294">
        <f>($C35*(1+'Biomass Data Assumptions'!I$110)*(1+'Biomass Data Assumptions'!E$83))*'Prac. Rec. Assumptions'!$B29</f>
        <v>2845.9303927266733</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226.285</v>
      </c>
      <c r="D37" s="294">
        <f>E37*'Conversion Tables'!C34</f>
        <v>3620.56</v>
      </c>
      <c r="E37" s="294">
        <f>C37*'Prac. Rec. Assumptions'!B31</f>
        <v>226.285</v>
      </c>
      <c r="F37" s="294">
        <f>($C37*(1+'Biomass Data Assumptions'!G$110)*(1+'Biomass Data Assumptions'!C$84))*'Prac. Rec. Assumptions'!$B31</f>
        <v>254.7917345459814</v>
      </c>
      <c r="G37" s="294">
        <f>($C37*(1+'Biomass Data Assumptions'!H$110)*(1+'Biomass Data Assumptions'!D$84))*'Prac. Rec. Assumptions'!$B31</f>
        <v>289.5099962357088</v>
      </c>
      <c r="H37" s="294">
        <f>($C37*(1+'Biomass Data Assumptions'!I$110)*(1+'Biomass Data Assumptions'!E$84))*'Prac. Rec. Assumptions'!$B31</f>
        <v>322.43473600259597</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661.53600000000006</v>
      </c>
      <c r="D38" s="294">
        <f>E38*'Conversion Tables'!C35</f>
        <v>5854.5936000000002</v>
      </c>
      <c r="E38" s="294">
        <f>C38*'Prac. Rec. Assumptions'!B32</f>
        <v>330.76800000000003</v>
      </c>
      <c r="F38" s="294">
        <f>($C38*(1+'Biomass Data Assumptions'!G$110)*(1+'Biomass Data Assumptions'!C$84))*'Prac. Rec. Assumptions'!$B32</f>
        <v>372.43720287383246</v>
      </c>
      <c r="G38" s="294">
        <f>($C38*(1+'Biomass Data Assumptions'!H$110)*(1+'Biomass Data Assumptions'!D$84))*'Prac. Rec. Assumptions'!$B32</f>
        <v>423.18599303927761</v>
      </c>
      <c r="H38" s="294">
        <f>($C38*(1+'Biomass Data Assumptions'!I$110)*(1+'Biomass Data Assumptions'!E$84))*'Prac. Rec. Assumptions'!$B32</f>
        <v>471.31313502046822</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7276.1130000000003</v>
      </c>
      <c r="D39" s="299">
        <f>E39*'Conversion Tables'!C36</f>
        <v>0</v>
      </c>
      <c r="E39" s="299">
        <f>C39*'Prac. Rec. Assumptions'!B33</f>
        <v>0</v>
      </c>
      <c r="F39" s="294">
        <f>($C39*(1+'Biomass Data Assumptions'!G$110)*(1+'Biomass Data Assumptions'!C$84))*'Prac. Rec. Assumptions'!$B33</f>
        <v>0</v>
      </c>
      <c r="G39" s="294">
        <f>($C39*(1+'Biomass Data Assumptions'!H$110)*(1+'Biomass Data Assumptions'!D$84))*'Prac. Rec. Assumptions'!$B33</f>
        <v>0</v>
      </c>
      <c r="H39" s="294">
        <f>($C39*(1+'Biomass Data Assumptions'!I$110)*(1+'Biomass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1777.68</v>
      </c>
      <c r="D40" s="299">
        <f>E40*'Conversion Tables'!C37</f>
        <v>0</v>
      </c>
      <c r="E40" s="299">
        <f>C40*'Prac. Rec. Assumptions'!B34</f>
        <v>0</v>
      </c>
      <c r="F40" s="294">
        <f>($C40*(1+'Biomass Data Assumptions'!G$110)*(1+'Biomass Data Assumptions'!C$84))*'Prac. Rec. Assumptions'!$B34</f>
        <v>0</v>
      </c>
      <c r="G40" s="294">
        <f>($C40*(1+'Biomass Data Assumptions'!H$110)*(1+'Biomass Data Assumptions'!D$84))*'Prac. Rec. Assumptions'!$B34</f>
        <v>0</v>
      </c>
      <c r="H40" s="294">
        <f>($C40*(1+'Biomass Data Assumptions'!I$110)*(1+'Biomass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3880.674</v>
      </c>
      <c r="D41" s="299">
        <f>E41*'Conversion Tables'!C38</f>
        <v>0</v>
      </c>
      <c r="E41" s="299">
        <f>C41*'Prac. Rec. Assumptions'!B35</f>
        <v>0</v>
      </c>
      <c r="F41" s="294">
        <f>($C41*(1+'Biomass Data Assumptions'!G$110)*(1+'Biomass Data Assumptions'!C$84))*'Prac. Rec. Assumptions'!$B35</f>
        <v>0</v>
      </c>
      <c r="G41" s="294">
        <f>($C41*(1+'Biomass Data Assumptions'!H$110)*(1+'Biomass Data Assumptions'!D$84))*'Prac. Rec. Assumptions'!$B35</f>
        <v>0</v>
      </c>
      <c r="H41" s="294">
        <f>($C41*(1+'Biomass Data Assumptions'!I$110)*(1+'Biomass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1788.615</v>
      </c>
      <c r="D42" s="299">
        <f>E42*'Conversion Tables'!C39</f>
        <v>25974.267029999999</v>
      </c>
      <c r="E42" s="299">
        <f>C42*'Prac. Rec. Assumptions'!B36</f>
        <v>1788.615</v>
      </c>
      <c r="F42" s="294">
        <f>($C42*(1+'Biomass Data Assumptions'!G$110)*(1+'Biomass Data Assumptions'!C$84))*'Prac. Rec. Assumptions'!$B36</f>
        <v>2013.9395818766623</v>
      </c>
      <c r="G42" s="294">
        <f>($C42*(1+'Biomass Data Assumptions'!H$110)*(1+'Biomass Data Assumptions'!D$84))*'Prac. Rec. Assumptions'!$B36</f>
        <v>2288.3616762804972</v>
      </c>
      <c r="H42" s="294">
        <f>($C42*(1+'Biomass Data Assumptions'!I$110)*(1+'Biomass Data Assumptions'!E$84))*'Prac. Rec. Assumptions'!$B36</f>
        <v>2548.6073108481919</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46029.362942</v>
      </c>
      <c r="D43" s="295">
        <f t="shared" si="4"/>
        <v>368827.91690369323</v>
      </c>
      <c r="E43" s="295">
        <f t="shared" si="4"/>
        <v>24590.849406800004</v>
      </c>
      <c r="F43" s="295">
        <f t="shared" si="4"/>
        <v>25650.119387649778</v>
      </c>
      <c r="G43" s="295">
        <f t="shared" si="4"/>
        <v>27022.98516256025</v>
      </c>
      <c r="H43" s="295">
        <f t="shared" si="4"/>
        <v>27930.425979374097</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34.56</v>
      </c>
      <c r="D46" s="294">
        <f>E46*'Conversion Tables'!C41</f>
        <v>0</v>
      </c>
      <c r="E46" s="294">
        <f>C46*'Prac. Rec. Assumptions'!B38</f>
        <v>34.56</v>
      </c>
      <c r="F46" s="294">
        <f>$E46</f>
        <v>34.56</v>
      </c>
      <c r="G46" s="294">
        <f>$E46</f>
        <v>34.56</v>
      </c>
      <c r="H46" s="294">
        <f>$E46</f>
        <v>34.56</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558.25109999999995</v>
      </c>
      <c r="D47" s="294"/>
      <c r="E47" s="294">
        <f>C47*'Prac. Rec. Assumptions'!B39</f>
        <v>279.12554999999998</v>
      </c>
      <c r="F47" s="294">
        <f>($C47*(1+'Biomass Data Assumptions'!G$110))*'Prac. Rec. Assumptions'!$B39</f>
        <v>287.42188404887713</v>
      </c>
      <c r="G47" s="294">
        <f>($C47*(1+'Biomass Data Assumptions'!H$110))*'Prac. Rec. Assumptions'!$B39</f>
        <v>298.66802575957723</v>
      </c>
      <c r="H47" s="294">
        <f>($C47*(1+'Biomass Data Assumptions'!I$110))*'Prac. Rec. Assumptions'!$B39</f>
        <v>304.19891512549538</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49.891826250000001</v>
      </c>
      <c r="D48" s="294"/>
      <c r="E48" s="294">
        <f>C48*'Prac. Rec. Assumptions'!B40</f>
        <v>49.891826250000001</v>
      </c>
      <c r="F48" s="294">
        <f>($C48*(1+'Biomass Data Assumptions'!G$110))*'Prac. Rec. Assumptions'!$B40</f>
        <v>51.374740504458387</v>
      </c>
      <c r="G48" s="294">
        <f>($C48*(1+'Biomass Data Assumptions'!H$110))*'Prac. Rec. Assumptions'!$B40</f>
        <v>53.384913160501981</v>
      </c>
      <c r="H48" s="294">
        <f>($C48*(1+'Biomass Data Assumptions'!I$110))*'Prac. Rec. Assumptions'!$B40</f>
        <v>54.37352266347424</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642.7029262499999</v>
      </c>
      <c r="D49" s="295">
        <f>SUM(D45:D48)</f>
        <v>0</v>
      </c>
      <c r="E49" s="295">
        <f t="shared" si="6"/>
        <v>363.57737624999999</v>
      </c>
      <c r="F49" s="295">
        <f>SUM(F45:F48)</f>
        <v>373.35662455333551</v>
      </c>
      <c r="G49" s="295">
        <f>SUM(G45:G48)</f>
        <v>386.61293892007922</v>
      </c>
      <c r="H49" s="295">
        <f>SUM(H45:H48)</f>
        <v>393.13243778896964</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3143.9639999999999</v>
      </c>
      <c r="D52" s="299">
        <f>E52*'Conversion Tables'!C45</f>
        <v>9283.4968992000013</v>
      </c>
      <c r="E52" s="299">
        <f>C52*'Prac. Rec. Assumptions'!B42</f>
        <v>628.79280000000006</v>
      </c>
      <c r="F52" s="294">
        <f t="shared" ref="F52:H59" si="7">$E52</f>
        <v>628.79280000000006</v>
      </c>
      <c r="G52" s="294">
        <f t="shared" si="7"/>
        <v>628.79280000000006</v>
      </c>
      <c r="H52" s="294">
        <f t="shared" si="7"/>
        <v>628.79280000000006</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12125.064575</v>
      </c>
      <c r="D53" s="299">
        <f>E53*'Conversion Tables'!C46</f>
        <v>107408.67203117999</v>
      </c>
      <c r="E53" s="299">
        <f>C53*'Prac. Rec. Assumptions'!B43</f>
        <v>7275.0387449999998</v>
      </c>
      <c r="F53" s="294">
        <f t="shared" si="7"/>
        <v>7275.0387449999998</v>
      </c>
      <c r="G53" s="294">
        <f t="shared" si="7"/>
        <v>7275.0387449999998</v>
      </c>
      <c r="H53" s="294">
        <f t="shared" si="7"/>
        <v>7275.0387449999998</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10949.570212500001</v>
      </c>
      <c r="D54" s="299">
        <f>E54*'Conversion Tables'!C47</f>
        <v>96995.672770410005</v>
      </c>
      <c r="E54" s="299">
        <f>C54*'Prac. Rec. Assumptions'!B44</f>
        <v>6569.7421275000006</v>
      </c>
      <c r="F54" s="294">
        <f t="shared" si="7"/>
        <v>6569.7421275000006</v>
      </c>
      <c r="G54" s="294">
        <f t="shared" si="7"/>
        <v>6569.7421275000006</v>
      </c>
      <c r="H54" s="294">
        <f t="shared" si="7"/>
        <v>6569.7421275000006</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430.846</v>
      </c>
      <c r="D55" s="299">
        <f>E55*'Conversion Tables'!C48</f>
        <v>1272.2020688</v>
      </c>
      <c r="E55" s="299">
        <f>C55*'Prac. Rec. Assumptions'!B45</f>
        <v>86.169200000000004</v>
      </c>
      <c r="F55" s="294">
        <f t="shared" si="7"/>
        <v>86.169200000000004</v>
      </c>
      <c r="G55" s="294">
        <f t="shared" si="7"/>
        <v>86.169200000000004</v>
      </c>
      <c r="H55" s="294">
        <f t="shared" si="7"/>
        <v>86.169200000000004</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316.12650000000002</v>
      </c>
      <c r="D56" s="299">
        <f>E56*'Conversion Tables'!C49</f>
        <v>933.45832919999998</v>
      </c>
      <c r="E56" s="299">
        <f>C56*'Prac. Rec. Assumptions'!B46</f>
        <v>63.225300000000004</v>
      </c>
      <c r="F56" s="294">
        <f t="shared" si="7"/>
        <v>63.225300000000004</v>
      </c>
      <c r="G56" s="294">
        <f t="shared" si="7"/>
        <v>63.225300000000004</v>
      </c>
      <c r="H56" s="294">
        <f t="shared" si="7"/>
        <v>63.225300000000004</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79.770750000000007</v>
      </c>
      <c r="D57" s="299">
        <f>E57*'Conversion Tables'!C50</f>
        <v>588.86767650000002</v>
      </c>
      <c r="E57" s="299">
        <f>C57*'Prac. Rec. Assumptions'!B47</f>
        <v>39.885375000000003</v>
      </c>
      <c r="F57" s="294">
        <f t="shared" si="7"/>
        <v>39.885375000000003</v>
      </c>
      <c r="G57" s="294">
        <f t="shared" si="7"/>
        <v>39.885375000000003</v>
      </c>
      <c r="H57" s="294">
        <f t="shared" si="7"/>
        <v>39.885375000000003</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131.67375000000001</v>
      </c>
      <c r="D58" s="299">
        <f>E58*'Conversion Tables'!C51</f>
        <v>1580.085</v>
      </c>
      <c r="E58" s="299">
        <f>C58*'Prac. Rec. Assumptions'!B48</f>
        <v>131.67375000000001</v>
      </c>
      <c r="F58" s="294">
        <f t="shared" si="7"/>
        <v>131.67375000000001</v>
      </c>
      <c r="G58" s="294">
        <f t="shared" si="7"/>
        <v>131.67375000000001</v>
      </c>
      <c r="H58" s="294">
        <f t="shared" si="7"/>
        <v>131.67375000000001</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23.599531249999998</v>
      </c>
      <c r="D59" s="299">
        <f>E59*'Conversion Tables'!C52</f>
        <v>348.42347937499994</v>
      </c>
      <c r="E59" s="299">
        <f>C59*'Prac. Rec. Assumptions'!B49</f>
        <v>23.599531249999998</v>
      </c>
      <c r="F59" s="294">
        <f t="shared" si="7"/>
        <v>23.599531249999998</v>
      </c>
      <c r="G59" s="294">
        <f t="shared" si="7"/>
        <v>23.599531249999998</v>
      </c>
      <c r="H59" s="294">
        <f t="shared" si="7"/>
        <v>23.599531249999998</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Assumptions'!AE25</f>
        <v>209.99005499999998</v>
      </c>
      <c r="D60" s="299">
        <f>E60*'Conversion Tables'!C53</f>
        <v>2519.8806599999998</v>
      </c>
      <c r="E60" s="299">
        <f>C60*'Prac. Rec. Assumptions'!B50</f>
        <v>209.99005499999998</v>
      </c>
      <c r="F60" s="294">
        <f>($C60*(1+'Biomass Data Assumptions'!G$110*(4/5)))*'Prac. Rec. Assumptions'!$B50</f>
        <v>214.9832135072655</v>
      </c>
      <c r="G60" s="294">
        <f>($C60*(1+'Biomass Data Assumptions'!H$110*(9/10)))*'Prac. Rec. Assumptions'!$B50</f>
        <v>223.2219250442536</v>
      </c>
      <c r="H60" s="294">
        <f>($C60*(1+'Biomass Data Assumptions'!I$110*(14/15)))*'Prac. Rec. Assumptions'!$B50</f>
        <v>227.59556203302509</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27410.605373750001</v>
      </c>
      <c r="D61" s="295">
        <f>SUM(D52:D60)</f>
        <v>220930.75891466494</v>
      </c>
      <c r="E61" s="295">
        <f t="shared" ref="E61:P61" si="8">SUM(E52:E60)</f>
        <v>15028.116883750001</v>
      </c>
      <c r="F61" s="295">
        <f>SUM(F52:F60)</f>
        <v>15033.110042257265</v>
      </c>
      <c r="G61" s="295">
        <f>SUM(G52:G60)</f>
        <v>15041.348753794255</v>
      </c>
      <c r="H61" s="295">
        <f>SUM(H52:H60)</f>
        <v>15045.722390783027</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Assumptions'!AB25</f>
        <v>0</v>
      </c>
      <c r="D63" s="300">
        <f>E63*'Conversion Tables'!C55</f>
        <v>0</v>
      </c>
      <c r="E63" s="299">
        <f>C63*'Prac. Rec. Assumptions'!B51</f>
        <v>0</v>
      </c>
      <c r="F63" s="294">
        <f>($C63*(1+'Biomass Data Assumptions'!G$110*(4/5)))*'Prac. Rec. Assumptions'!$B51</f>
        <v>0</v>
      </c>
      <c r="G63" s="294">
        <f>($C63*(1+'Biomass Data Assumptions'!H$110*(9/10)))*'Prac. Rec. Assumptions'!$B51</f>
        <v>0</v>
      </c>
      <c r="H63" s="294">
        <f>($C63*(1+'Biomass Data Assumptions'!I$110*(14/15)))*'Prac. Rec. Assumptions'!$B51</f>
        <v>0</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Assumptions'!X25</f>
        <v>17.764743112578401</v>
      </c>
      <c r="D64" s="300">
        <f>E64*'Conversion Tables'!C56</f>
        <v>8988.9600149646703</v>
      </c>
      <c r="E64" s="299">
        <f>C64*'Prac. Rec. Assumptions'!B52</f>
        <v>17.764743112578401</v>
      </c>
      <c r="F64" s="545">
        <f>($C64*(1+'Biomass Data Assumptions'!G$110*(3/5))*(1+('Biomass Data Assumptions'!C$82-((1+'Biomass Data Assumptions'!$B$82)^2 - 1))))*'Prac. Rec. Assumptions'!$B52</f>
        <v>18.074186408173045</v>
      </c>
      <c r="G64" s="545">
        <f>($C64*(1+'Biomass Data Assumptions'!H$110*(4/5))*(1+('Biomass Data Assumptions'!D$82-((1+'Biomass Data Assumptions'!$B$82)^2 - 1))))*'Prac. Rec. Assumptions'!$B52</f>
        <v>18.739386167646991</v>
      </c>
      <c r="H64" s="545">
        <f>($C64*(1+'Biomass Data Assumptions'!I$110*(13/15))*(1+('Biomass Data Assumptions'!E$82-((1+'Biomass Data Assumptions'!$B$82)^2 - 1))))*'Prac. Rec. Assumptions'!$B52</f>
        <v>19.113974213114513</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17.764743112578401</v>
      </c>
      <c r="D65" s="295">
        <f>SUM(D63:D64)</f>
        <v>8988.9600149646703</v>
      </c>
      <c r="E65" s="295">
        <f t="shared" ref="E65:P65" si="9">SUM(E63:E64)</f>
        <v>17.764743112578401</v>
      </c>
      <c r="F65" s="295">
        <f>SUM(F63:F64)</f>
        <v>18.074186408173045</v>
      </c>
      <c r="G65" s="295">
        <f>SUM(G63:G64)</f>
        <v>18.739386167646991</v>
      </c>
      <c r="H65" s="295">
        <f>SUM(H63:H64)</f>
        <v>19.113974213114513</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28110.983474770568</v>
      </c>
      <c r="D67" s="295">
        <f t="shared" ref="D67" si="10">D61+D65</f>
        <v>229919.7189296296</v>
      </c>
      <c r="E67" s="295">
        <f>E61+(E63*1000000/29487.1582406855)+(E64*1000000/25364.5039539246)</f>
        <v>15728.494984770568</v>
      </c>
      <c r="F67" s="295">
        <f t="shared" ref="F67:H67" si="11">F61+(F63*1000000/29487.1582406855)+(F64*1000000/25364.5039539246)</f>
        <v>15745.687999271735</v>
      </c>
      <c r="G67" s="295">
        <f t="shared" si="11"/>
        <v>15780.152327547861</v>
      </c>
      <c r="H67" s="295">
        <f t="shared" si="11"/>
        <v>15799.294163676186</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235277.45517635389</v>
      </c>
      <c r="D68" s="132"/>
      <c r="E68" s="132">
        <f>E11+E29+E43+E49+E67</f>
        <v>115957.11760115391</v>
      </c>
      <c r="F68" s="132">
        <f>F11+F29+F43+F49+F67</f>
        <v>117174.06458390987</v>
      </c>
      <c r="G68" s="132">
        <f>G11+G29+G43+G49+G67</f>
        <v>118771.82853668998</v>
      </c>
      <c r="H68" s="132">
        <f>H11+H29+H43+H49+H67</f>
        <v>119792.06718123553</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80</v>
      </c>
      <c r="C74" s="40">
        <f>'Biomass Data Assumptions'!B38*B74</f>
        <v>5224</v>
      </c>
      <c r="D74" s="40">
        <f>(C74*'Biomass Data Assumptions'!C38)/2000</f>
        <v>146.27199999999999</v>
      </c>
      <c r="E74" s="41"/>
      <c r="F74" s="41"/>
      <c r="G74" s="41"/>
      <c r="H74" s="36"/>
      <c r="I74" s="36"/>
      <c r="J74" s="36"/>
      <c r="K74" s="36"/>
      <c r="L74" s="36"/>
      <c r="M74" s="36"/>
      <c r="N74" s="36"/>
      <c r="O74" s="36"/>
      <c r="P74" s="36"/>
      <c r="Q74" s="36"/>
      <c r="R74" s="36"/>
    </row>
    <row r="75" spans="1:19" x14ac:dyDescent="0.25">
      <c r="A75" s="39" t="s">
        <v>520</v>
      </c>
      <c r="B75" s="21">
        <v>170</v>
      </c>
      <c r="C75" s="40">
        <f>'Biomass Data Assumptions'!B39*B75</f>
        <v>4641</v>
      </c>
      <c r="D75" s="40">
        <f>(C75*'Biomass Data Assumptions'!C39)/2000</f>
        <v>129.94800000000001</v>
      </c>
      <c r="E75" s="41"/>
      <c r="F75" s="41"/>
      <c r="G75" s="41"/>
      <c r="H75" s="36"/>
      <c r="I75" s="36"/>
      <c r="J75" s="36"/>
      <c r="K75" s="36"/>
      <c r="L75" s="36"/>
      <c r="M75" s="36"/>
      <c r="N75" s="36"/>
      <c r="O75" s="36"/>
      <c r="P75" s="36"/>
      <c r="Q75" s="36"/>
      <c r="R75" s="36"/>
    </row>
    <row r="76" spans="1:19" x14ac:dyDescent="0.25">
      <c r="A76" s="39" t="s">
        <v>521</v>
      </c>
      <c r="B76" s="21">
        <v>2588</v>
      </c>
      <c r="C76" s="40">
        <f>'Biomass Data Assumptions'!B40*B76</f>
        <v>323500</v>
      </c>
      <c r="D76" s="40">
        <f>(C76*'Biomass Data Assumptions'!C40)/2000</f>
        <v>9058</v>
      </c>
      <c r="E76" s="41"/>
      <c r="F76" s="41"/>
      <c r="G76" s="41"/>
      <c r="H76" s="36"/>
      <c r="I76" s="36"/>
      <c r="J76" s="36"/>
      <c r="K76" s="36"/>
      <c r="L76" s="36"/>
      <c r="M76" s="36"/>
      <c r="N76" s="36"/>
      <c r="O76" s="36"/>
      <c r="P76" s="36"/>
      <c r="Q76" s="36"/>
      <c r="R76" s="36"/>
    </row>
    <row r="77" spans="1:19" x14ac:dyDescent="0.25">
      <c r="A77" s="39" t="s">
        <v>525</v>
      </c>
      <c r="B77" s="21">
        <v>36</v>
      </c>
      <c r="C77" s="40">
        <f>'Biomass Data Assumptions'!B41*B77</f>
        <v>1152</v>
      </c>
      <c r="D77" s="40">
        <f>(C77*'Biomass Data Assumptions'!C41)/2000</f>
        <v>34.56</v>
      </c>
      <c r="E77" s="41"/>
      <c r="F77" s="41"/>
      <c r="G77" s="41"/>
      <c r="H77" s="36"/>
      <c r="I77" s="36"/>
      <c r="J77" s="36"/>
      <c r="K77" s="36"/>
      <c r="L77" s="36"/>
      <c r="M77" s="36"/>
      <c r="N77" s="36"/>
      <c r="O77" s="36"/>
      <c r="P77" s="36"/>
      <c r="Q77" s="36"/>
      <c r="R77" s="36"/>
    </row>
    <row r="78" spans="1:19" x14ac:dyDescent="0.25">
      <c r="A78" s="39" t="s">
        <v>522</v>
      </c>
      <c r="B78" s="21">
        <v>49</v>
      </c>
      <c r="C78" s="40">
        <f>'Biomass Data Assumptions'!B42*B78</f>
        <v>2646</v>
      </c>
      <c r="D78" s="40">
        <f>(C78*'Biomass Data Assumptions'!C42)/2000</f>
        <v>79.38</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328</v>
      </c>
      <c r="C81" s="40">
        <f>'Biomass Data Assumptions'!B49*B81</f>
        <v>328</v>
      </c>
      <c r="D81" s="40">
        <f>C81*'Energy Content Assumptions'!C11</f>
        <v>278.8</v>
      </c>
      <c r="E81" s="41"/>
      <c r="F81" s="41"/>
      <c r="G81" s="41"/>
      <c r="H81" s="36"/>
      <c r="I81" s="36"/>
      <c r="J81" s="36"/>
      <c r="K81" s="36"/>
      <c r="L81" s="36"/>
      <c r="M81" s="36"/>
      <c r="N81" s="36"/>
      <c r="O81" s="36"/>
      <c r="P81" s="36"/>
      <c r="Q81" s="36"/>
      <c r="R81" s="36"/>
    </row>
    <row r="82" spans="1:18" x14ac:dyDescent="0.25">
      <c r="A82" s="39" t="s">
        <v>520</v>
      </c>
      <c r="B82" s="21">
        <f>170+84</f>
        <v>254</v>
      </c>
      <c r="C82" s="40">
        <f>'Biomass Data Assumptions'!B50*B82</f>
        <v>571.5</v>
      </c>
      <c r="D82" s="40">
        <f>C82*'Energy Content Assumptions'!C12</f>
        <v>485.77499999999998</v>
      </c>
      <c r="E82" s="41"/>
      <c r="F82" s="41"/>
      <c r="G82" s="41"/>
      <c r="H82" s="36"/>
      <c r="I82" s="36"/>
      <c r="J82" s="36"/>
      <c r="K82" s="36"/>
      <c r="L82" s="36"/>
      <c r="M82" s="36"/>
      <c r="N82" s="36"/>
      <c r="O82" s="36"/>
      <c r="P82" s="36"/>
      <c r="Q82" s="36"/>
      <c r="R82" s="36"/>
    </row>
    <row r="83" spans="1:18" x14ac:dyDescent="0.25">
      <c r="A83" s="39" t="s">
        <v>521</v>
      </c>
      <c r="B83" s="21">
        <v>2588</v>
      </c>
      <c r="C83" s="40">
        <f>'Biomass Data Assumptions'!B51*B83</f>
        <v>6470</v>
      </c>
      <c r="D83" s="40">
        <f>C83*'Energy Content Assumptions'!C13</f>
        <v>5499.5</v>
      </c>
      <c r="E83" s="41"/>
      <c r="F83" s="41"/>
      <c r="G83" s="41"/>
      <c r="H83" s="36"/>
      <c r="I83" s="36"/>
      <c r="J83" s="36"/>
      <c r="K83" s="36"/>
      <c r="L83" s="36"/>
      <c r="M83" s="36"/>
      <c r="N83" s="36"/>
      <c r="O83" s="36"/>
      <c r="P83" s="36"/>
      <c r="Q83" s="36"/>
      <c r="R83" s="36"/>
    </row>
    <row r="84" spans="1:18" x14ac:dyDescent="0.25">
      <c r="A84" s="39" t="s">
        <v>528</v>
      </c>
      <c r="B84" s="21">
        <v>2420</v>
      </c>
      <c r="C84" s="40">
        <f>'Biomass Data Assumptions'!B52*B84</f>
        <v>39688</v>
      </c>
      <c r="D84" s="40">
        <f>C84*'Energy Content Assumptions'!C14</f>
        <v>13890.8</v>
      </c>
      <c r="E84" s="41"/>
      <c r="F84" s="41"/>
      <c r="G84" s="41"/>
      <c r="H84" s="36"/>
      <c r="I84" s="36"/>
      <c r="J84" s="36"/>
      <c r="K84" s="36"/>
      <c r="L84" s="36"/>
      <c r="M84" s="36"/>
      <c r="N84" s="36"/>
      <c r="O84" s="36"/>
      <c r="P84" s="36"/>
      <c r="Q84" s="36"/>
      <c r="R84" s="36"/>
    </row>
    <row r="85" spans="1:18" x14ac:dyDescent="0.25">
      <c r="A85" s="39" t="s">
        <v>529</v>
      </c>
      <c r="B85" s="21">
        <v>5655</v>
      </c>
      <c r="C85" s="40">
        <f>'Biomass Data Assumptions'!B53*B85</f>
        <v>18096</v>
      </c>
      <c r="D85" s="40">
        <f>C85*'Energy Content Assumptions'!C15</f>
        <v>15381.6</v>
      </c>
      <c r="E85" s="41"/>
      <c r="F85" s="41"/>
      <c r="G85" s="41"/>
      <c r="H85" s="36"/>
      <c r="I85" s="36"/>
      <c r="J85" s="36"/>
      <c r="K85" s="36"/>
      <c r="L85" s="36"/>
      <c r="M85" s="36"/>
      <c r="N85" s="36"/>
      <c r="O85" s="36"/>
      <c r="P85" s="36"/>
      <c r="Q85" s="36"/>
      <c r="R85" s="36"/>
    </row>
    <row r="86" spans="1:18" x14ac:dyDescent="0.25">
      <c r="A86" s="39" t="s">
        <v>530</v>
      </c>
      <c r="B86" s="21">
        <v>14865</v>
      </c>
      <c r="C86" s="40">
        <f>'Biomass Data Assumptions'!B54*B86</f>
        <v>25270.5</v>
      </c>
      <c r="D86" s="40">
        <f>C86*'Energy Content Assumptions'!C16</f>
        <v>21479.924999999999</v>
      </c>
      <c r="E86" s="41"/>
      <c r="F86" s="41"/>
      <c r="G86" s="41"/>
      <c r="H86" s="36"/>
      <c r="I86" s="36"/>
      <c r="J86" s="36"/>
      <c r="K86" s="36"/>
      <c r="L86" s="36"/>
      <c r="M86" s="36"/>
      <c r="N86" s="36"/>
      <c r="O86" s="36"/>
      <c r="P86" s="36"/>
      <c r="Q86" s="36"/>
      <c r="R86" s="36"/>
    </row>
    <row r="87" spans="1:18" x14ac:dyDescent="0.25">
      <c r="A87" s="39" t="s">
        <v>522</v>
      </c>
      <c r="B87" s="21">
        <v>49</v>
      </c>
      <c r="C87" s="40">
        <f>'Biomass Data Assumptions'!B55*B87</f>
        <v>85.75</v>
      </c>
      <c r="D87" s="40">
        <f>C87*'Energy Content Assumptions'!C17</f>
        <v>72.887500000000003</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2775</v>
      </c>
      <c r="C97" s="41">
        <f>ROUND('Biomass Data Assumptions'!$B$60/1000*B97,0)</f>
        <v>2775</v>
      </c>
      <c r="D97" s="41">
        <f>'Biomass Data Assumptions'!$C$60*C97</f>
        <v>93184500</v>
      </c>
      <c r="E97" s="41">
        <f>('Biomass Data Assumptions'!$D$60*'Energy Content Assumptions'!$C$44*D97)/2000</f>
        <v>1118.2139999999999</v>
      </c>
      <c r="F97" s="41">
        <f>('Biomass Data Assumptions'!$E$60*B97*365)/2000</f>
        <v>2025.75</v>
      </c>
      <c r="G97" s="41">
        <f>F97+E97</f>
        <v>3143.9639999999999</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1888</v>
      </c>
      <c r="C100" s="41">
        <f>ROUND('Biomass Data Assumptions'!B62/1000*B100,0)</f>
        <v>661</v>
      </c>
      <c r="D100" s="41">
        <f>'Biomass Data Assumptions'!C62*C100</f>
        <v>19301200</v>
      </c>
      <c r="E100" s="41">
        <f>('Biomass Data Assumptions'!D62*'Energy Content Assumptions'!C46*D100)/2000</f>
        <v>868.55399999999997</v>
      </c>
      <c r="F100" s="41">
        <f>('Biomass Data Assumptions'!E62*B100*365)/2000</f>
        <v>1722.8</v>
      </c>
      <c r="G100" s="41">
        <f>F100+E100</f>
        <v>2591.3539999999998</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2178</v>
      </c>
      <c r="C102" s="41">
        <f>ROUND('Biomass Data Assumptions'!B64/1000*B102,0)</f>
        <v>3049</v>
      </c>
      <c r="D102" s="41">
        <f>'Biomass Data Assumptions'!C64*C102</f>
        <v>123530235</v>
      </c>
      <c r="E102" s="41">
        <f>('Biomass Data Assumptions'!D64*'Energy Content Assumptions'!C48*D102)/2000</f>
        <v>5558.8605750000006</v>
      </c>
      <c r="F102" s="41">
        <f>'Biomass Data Assumptions'!E64*B102*365/2000</f>
        <v>3974.85</v>
      </c>
      <c r="G102" s="41">
        <f>F102+E102</f>
        <v>9533.710575000001</v>
      </c>
      <c r="H102" s="36"/>
      <c r="I102" s="36"/>
      <c r="J102" s="41"/>
      <c r="K102" s="41"/>
      <c r="L102" s="41"/>
      <c r="M102" s="41"/>
      <c r="N102" s="36"/>
      <c r="O102" s="36"/>
      <c r="P102" s="36"/>
      <c r="Q102" s="36"/>
      <c r="R102" s="36"/>
    </row>
    <row r="103" spans="1:18" hidden="1" x14ac:dyDescent="0.25">
      <c r="A103" s="45"/>
      <c r="B103" s="85"/>
      <c r="C103" s="41"/>
      <c r="D103" s="41"/>
      <c r="E103" s="41"/>
      <c r="F103" s="41"/>
      <c r="G103" s="41"/>
      <c r="H103" s="457"/>
      <c r="I103" s="36"/>
      <c r="J103" s="41"/>
      <c r="K103" s="41"/>
      <c r="L103" s="41"/>
      <c r="M103" s="41"/>
      <c r="N103" s="36"/>
      <c r="O103" s="36"/>
      <c r="P103" s="36"/>
      <c r="Q103" s="36"/>
      <c r="R103" s="36"/>
    </row>
    <row r="104" spans="1:18" x14ac:dyDescent="0.25">
      <c r="A104" s="467" t="s">
        <v>544</v>
      </c>
      <c r="B104" s="85">
        <f t="shared" ref="B104:G104" si="14">SUM(B100:B103)</f>
        <v>4066</v>
      </c>
      <c r="C104" s="41">
        <f t="shared" si="14"/>
        <v>3710</v>
      </c>
      <c r="D104" s="41">
        <f t="shared" si="14"/>
        <v>142831435</v>
      </c>
      <c r="E104" s="41">
        <f t="shared" si="14"/>
        <v>6427.4145750000007</v>
      </c>
      <c r="F104" s="41">
        <f t="shared" si="14"/>
        <v>5697.65</v>
      </c>
      <c r="G104" s="41">
        <f t="shared" si="14"/>
        <v>12125.064575</v>
      </c>
      <c r="H104" s="457"/>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3177</v>
      </c>
      <c r="C106" s="41">
        <f>ROUND('Biomass Data Assumptions'!B66/1000*B106,0)</f>
        <v>3177</v>
      </c>
      <c r="D106" s="41">
        <f>'Biomass Data Assumptions'!C66*C106</f>
        <v>64358077.5</v>
      </c>
      <c r="E106" s="41">
        <f>('Biomass Data Assumptions'!D66*'Energy Content Assumptions'!C50*D106)/2000</f>
        <v>2252.5327125000003</v>
      </c>
      <c r="F106" s="41">
        <f>'Biomass Data Assumptions'!E66*B106*365/2000</f>
        <v>8697.0375000000004</v>
      </c>
      <c r="G106" s="41">
        <f>F106+E106</f>
        <v>10949.570212500001</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1959</v>
      </c>
      <c r="C108" s="41">
        <f>ROUND('Biomass Data Assumptions'!B67/1000*B108,0)</f>
        <v>196</v>
      </c>
      <c r="D108" s="41">
        <f>'Biomass Data Assumptions'!C67*C108</f>
        <v>2933140</v>
      </c>
      <c r="E108" s="41">
        <f>('Biomass Data Assumptions'!D67*'Energy Content Assumptions'!C51*D108)/2000</f>
        <v>73.328500000000005</v>
      </c>
      <c r="F108" s="41">
        <f>'Biomass Data Assumptions'!E67*B108*365/2000</f>
        <v>357.51749999999998</v>
      </c>
      <c r="G108" s="41">
        <f>F108+E108</f>
        <v>430.846</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1437</v>
      </c>
      <c r="C110" s="41">
        <f>ROUND('Biomass Data Assumptions'!B68/1000*B110,0)</f>
        <v>144</v>
      </c>
      <c r="D110" s="41">
        <f>'Biomass Data Assumptions'!C68*C110</f>
        <v>2154960</v>
      </c>
      <c r="E110" s="41">
        <f>('Biomass Data Assumptions'!D68*'Energy Content Assumptions'!C52*D110)/2000</f>
        <v>53.874000000000002</v>
      </c>
      <c r="F110" s="41">
        <f>'Biomass Data Assumptions'!E68*B110*365/2000</f>
        <v>262.2525</v>
      </c>
      <c r="G110" s="41">
        <f>F110+E110</f>
        <v>316.12650000000002</v>
      </c>
      <c r="H110" s="36"/>
      <c r="I110" s="36"/>
      <c r="J110" s="41"/>
      <c r="K110" s="41"/>
      <c r="L110" s="41"/>
      <c r="M110" s="41"/>
      <c r="N110" s="36"/>
      <c r="O110" s="36"/>
      <c r="P110" s="36"/>
      <c r="Q110" s="36"/>
      <c r="R110" s="36"/>
    </row>
    <row r="111" spans="1:18" ht="12" customHeight="1"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457"/>
      <c r="I113" s="36"/>
      <c r="J113" s="41"/>
      <c r="K113" s="41"/>
      <c r="L113" s="41"/>
      <c r="M113" s="41"/>
      <c r="N113" s="36"/>
      <c r="O113" s="36"/>
      <c r="P113" s="36"/>
      <c r="Q113" s="36"/>
      <c r="R113" s="36"/>
    </row>
    <row r="114" spans="1:18" hidden="1" x14ac:dyDescent="0.25">
      <c r="A114" s="45"/>
      <c r="B114" s="85"/>
      <c r="C114" s="41"/>
      <c r="D114" s="41"/>
      <c r="E114" s="41"/>
      <c r="F114" s="41"/>
      <c r="G114" s="41"/>
      <c r="H114" s="457"/>
      <c r="I114" s="36"/>
      <c r="J114" s="41"/>
      <c r="K114" s="41"/>
      <c r="L114" s="41"/>
      <c r="M114" s="41"/>
      <c r="N114" s="36"/>
      <c r="O114" s="36"/>
      <c r="P114" s="36"/>
      <c r="Q114" s="36"/>
      <c r="R114" s="36"/>
    </row>
    <row r="115" spans="1:18" x14ac:dyDescent="0.25">
      <c r="A115" s="467" t="s">
        <v>605</v>
      </c>
      <c r="B115" s="85">
        <v>466</v>
      </c>
      <c r="C115" s="41">
        <f>ROUND('Biomass Data Assumptions'!$B$71/1000*B115,0)</f>
        <v>186</v>
      </c>
      <c r="D115" s="41">
        <f>'Biomass Data Assumptions'!$C$71*C115</f>
        <v>3190830</v>
      </c>
      <c r="E115" s="41">
        <f>('Biomass Data Assumptions'!$D$71*'Energy Content Assumptions'!$C$55*D115)/2000</f>
        <v>79.770750000000007</v>
      </c>
      <c r="F115" s="41">
        <f>'Biomass Data Assumptions'!$E$71*B115*365/2000</f>
        <v>0</v>
      </c>
      <c r="G115" s="41">
        <f>F115+E115</f>
        <v>79.770750000000007</v>
      </c>
      <c r="H115" s="457"/>
      <c r="I115" s="36"/>
      <c r="J115" s="41"/>
      <c r="K115" s="41"/>
      <c r="L115" s="41"/>
      <c r="M115" s="41"/>
      <c r="N115" s="36"/>
      <c r="O115" s="36"/>
      <c r="P115" s="36"/>
      <c r="Q115" s="36"/>
      <c r="R115" s="36"/>
    </row>
    <row r="116" spans="1:18" x14ac:dyDescent="0.25">
      <c r="A116" s="46"/>
      <c r="B116" s="41"/>
      <c r="C116" s="41"/>
      <c r="D116" s="41"/>
      <c r="E116" s="41"/>
      <c r="F116" s="41"/>
      <c r="G116" s="41"/>
      <c r="H116" s="457"/>
      <c r="I116" s="36"/>
      <c r="J116" s="41"/>
      <c r="K116" s="41"/>
      <c r="L116" s="41"/>
      <c r="M116" s="41"/>
      <c r="N116" s="36"/>
      <c r="O116" s="36"/>
      <c r="P116" s="36"/>
      <c r="Q116" s="36"/>
      <c r="R116" s="36"/>
    </row>
    <row r="117" spans="1:18" x14ac:dyDescent="0.25">
      <c r="A117" s="43" t="s">
        <v>551</v>
      </c>
      <c r="B117" s="85">
        <f>1419+4931+8358</f>
        <v>14708</v>
      </c>
      <c r="C117" s="41">
        <f>ROUND('Biomass Data Assumptions'!B72/1000*B117,0)</f>
        <v>74</v>
      </c>
      <c r="D117" s="41">
        <f>'Biomass Data Assumptions'!C72*C117</f>
        <v>1350500</v>
      </c>
      <c r="E117" s="41">
        <f>('Biomass Data Assumptions'!D72*'Energy Content Assumptions'!C56*D117)/2000</f>
        <v>131.67375000000001</v>
      </c>
      <c r="F117" s="41">
        <f>'Biomass Data Assumptions'!E72*B117*365/2000</f>
        <v>0</v>
      </c>
      <c r="G117" s="41">
        <f>F117+E117</f>
        <v>131.67375000000001</v>
      </c>
      <c r="H117" s="36"/>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530</v>
      </c>
      <c r="C119" s="41">
        <f>ROUND('Biomass Data Assumptions'!B73/1000*B119,0)</f>
        <v>11</v>
      </c>
      <c r="D119" s="41">
        <f>'Biomass Data Assumptions'!C73*C119</f>
        <v>148555</v>
      </c>
      <c r="E119" s="41">
        <f>('Biomass Data Assumptions'!D73*'Energy Content Assumptions'!C57*D119)/2000</f>
        <v>13.927031250000001</v>
      </c>
      <c r="F119" s="41">
        <f>'Biomass Data Assumptions'!E73*B119*365/2000</f>
        <v>9.6724999999999994</v>
      </c>
      <c r="G119" s="41">
        <f>F119+E119</f>
        <v>23.599531249999998</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5">B97+B104+B106+B108+B110+B115+B117+B119</f>
        <v>29118</v>
      </c>
      <c r="C121" s="48">
        <f t="shared" si="15"/>
        <v>10273</v>
      </c>
      <c r="D121" s="48">
        <f t="shared" si="15"/>
        <v>310151997.5</v>
      </c>
      <c r="E121" s="48">
        <f t="shared" si="15"/>
        <v>10150.735318749999</v>
      </c>
      <c r="F121" s="48">
        <f t="shared" si="15"/>
        <v>17049.88</v>
      </c>
      <c r="G121" s="48">
        <f t="shared" si="15"/>
        <v>27200.615318750002</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8084.57</v>
      </c>
      <c r="C124" s="543">
        <f>B124*'Energy Content Assumptions'!C33</f>
        <v>7276.1130000000003</v>
      </c>
      <c r="D124" s="36"/>
      <c r="E124" s="36"/>
      <c r="F124" s="36"/>
      <c r="G124" s="36"/>
      <c r="H124" s="36"/>
      <c r="I124" s="36"/>
      <c r="J124" s="36"/>
      <c r="K124" s="36"/>
      <c r="L124" s="36"/>
      <c r="M124" s="36"/>
      <c r="N124" s="36"/>
      <c r="O124" s="36"/>
      <c r="P124" s="36"/>
      <c r="Q124" s="36"/>
      <c r="R124" s="36"/>
    </row>
    <row r="125" spans="1:18" x14ac:dyDescent="0.25">
      <c r="A125" s="50" t="s">
        <v>556</v>
      </c>
      <c r="B125" s="87">
        <v>1975.2</v>
      </c>
      <c r="C125" s="543">
        <f>B125*'Energy Content Assumptions'!C34</f>
        <v>1777.68</v>
      </c>
      <c r="D125" s="36"/>
      <c r="E125" s="36"/>
      <c r="F125" s="36"/>
      <c r="G125" s="36"/>
      <c r="H125" s="36"/>
      <c r="I125" s="36"/>
      <c r="J125" s="36"/>
      <c r="K125" s="36"/>
      <c r="L125" s="36"/>
      <c r="M125" s="36"/>
      <c r="N125" s="36"/>
      <c r="O125" s="36"/>
      <c r="P125" s="36"/>
      <c r="Q125" s="36"/>
      <c r="R125" s="36"/>
    </row>
    <row r="126" spans="1:18" x14ac:dyDescent="0.25">
      <c r="A126" s="50" t="s">
        <v>557</v>
      </c>
      <c r="B126" s="87">
        <v>4311.8599999999997</v>
      </c>
      <c r="C126" s="543">
        <f>B126*'Energy Content Assumptions'!C35</f>
        <v>3880.674</v>
      </c>
      <c r="D126" s="36"/>
      <c r="E126" s="36"/>
      <c r="F126" s="36"/>
      <c r="G126" s="36"/>
      <c r="H126" s="36"/>
      <c r="I126" s="36"/>
      <c r="J126" s="36"/>
      <c r="K126" s="36"/>
      <c r="L126" s="36"/>
      <c r="M126" s="36"/>
      <c r="N126" s="36"/>
      <c r="O126" s="36"/>
      <c r="P126" s="36"/>
      <c r="Q126" s="36"/>
      <c r="R126" s="36"/>
    </row>
    <row r="127" spans="1:18" x14ac:dyDescent="0.25">
      <c r="A127" s="50" t="s">
        <v>558</v>
      </c>
      <c r="B127" s="87">
        <v>1987.35</v>
      </c>
      <c r="C127" s="543">
        <f>B127*'Energy Content Assumptions'!C36</f>
        <v>1788.615</v>
      </c>
      <c r="D127" s="36"/>
      <c r="E127" s="36"/>
      <c r="F127" s="36"/>
      <c r="G127" s="36"/>
      <c r="H127" s="36"/>
      <c r="I127" s="36"/>
      <c r="J127" s="36"/>
      <c r="K127" s="36"/>
      <c r="L127" s="36"/>
      <c r="M127" s="36"/>
      <c r="N127" s="36"/>
      <c r="O127" s="36"/>
      <c r="P127" s="36"/>
      <c r="Q127" s="36"/>
      <c r="R127" s="36"/>
    </row>
    <row r="128" spans="1:18" x14ac:dyDescent="0.25">
      <c r="A128" s="50" t="s">
        <v>559</v>
      </c>
      <c r="B128" s="87">
        <v>4428.51</v>
      </c>
      <c r="C128" s="543">
        <f>B128*'Energy Content Assumptions'!C21</f>
        <v>2214.2550000000001</v>
      </c>
      <c r="D128" s="36"/>
      <c r="E128" s="36"/>
      <c r="F128" s="36"/>
      <c r="G128" s="36"/>
      <c r="H128" s="36"/>
      <c r="I128" s="36"/>
      <c r="J128" s="36"/>
      <c r="K128" s="36"/>
      <c r="L128" s="36"/>
      <c r="M128" s="36"/>
      <c r="N128" s="36"/>
      <c r="O128" s="36"/>
      <c r="P128" s="36"/>
      <c r="Q128" s="36"/>
      <c r="R128" s="36"/>
    </row>
    <row r="129" spans="1:18" x14ac:dyDescent="0.25">
      <c r="A129" s="50" t="s">
        <v>560</v>
      </c>
      <c r="B129" s="87">
        <v>147.38999999999999</v>
      </c>
      <c r="C129" s="543">
        <f>B129*'Energy Content Assumptions'!C22</f>
        <v>49.129999999999995</v>
      </c>
      <c r="D129" s="36"/>
      <c r="E129" s="36"/>
      <c r="F129" s="36"/>
      <c r="G129" s="36"/>
      <c r="H129" s="36"/>
      <c r="I129" s="36"/>
      <c r="J129" s="36"/>
      <c r="K129" s="36"/>
      <c r="L129" s="36"/>
      <c r="M129" s="36"/>
      <c r="N129" s="36"/>
      <c r="O129" s="36"/>
      <c r="P129" s="36"/>
      <c r="Q129" s="36"/>
      <c r="R129" s="36"/>
    </row>
    <row r="130" spans="1:18" x14ac:dyDescent="0.25">
      <c r="A130" s="50" t="s">
        <v>561</v>
      </c>
      <c r="B130" s="87">
        <v>2452.33</v>
      </c>
      <c r="C130" s="543">
        <f>B130*'Energy Content Assumptions'!C23</f>
        <v>817.44333333333327</v>
      </c>
      <c r="D130" s="36"/>
      <c r="E130" s="36"/>
      <c r="F130" s="36"/>
      <c r="G130" s="36"/>
      <c r="H130" s="36"/>
      <c r="I130" s="36"/>
      <c r="J130" s="36"/>
      <c r="K130" s="36"/>
      <c r="L130" s="36"/>
      <c r="M130" s="36"/>
      <c r="N130" s="36"/>
      <c r="O130" s="36"/>
      <c r="P130" s="36"/>
      <c r="Q130" s="36"/>
      <c r="R130" s="36"/>
    </row>
    <row r="131" spans="1:18" x14ac:dyDescent="0.25">
      <c r="A131" s="50" t="s">
        <v>562</v>
      </c>
      <c r="B131" s="87">
        <v>2633.32</v>
      </c>
      <c r="C131" s="543">
        <f>B131*'Energy Content Assumptions'!C24</f>
        <v>1316.66</v>
      </c>
      <c r="D131" s="36"/>
      <c r="E131" s="36"/>
      <c r="F131" s="36"/>
      <c r="G131" s="36"/>
      <c r="H131" s="36"/>
      <c r="I131" s="36"/>
      <c r="J131" s="36"/>
      <c r="K131" s="36"/>
      <c r="L131" s="36"/>
      <c r="M131" s="36"/>
      <c r="N131" s="36"/>
      <c r="O131" s="36"/>
      <c r="P131" s="36"/>
      <c r="Q131" s="36"/>
      <c r="R131" s="36"/>
    </row>
    <row r="132" spans="1:18" x14ac:dyDescent="0.25">
      <c r="A132" s="50" t="s">
        <v>563</v>
      </c>
      <c r="B132" s="87">
        <v>905.14</v>
      </c>
      <c r="C132" s="543">
        <f>B132*'Energy Content Assumptions'!C31</f>
        <v>226.285</v>
      </c>
      <c r="D132" s="36"/>
      <c r="E132" s="36"/>
      <c r="F132" s="36"/>
      <c r="G132" s="36"/>
      <c r="H132" s="36"/>
      <c r="I132" s="36"/>
      <c r="J132" s="36"/>
      <c r="K132" s="36"/>
      <c r="L132" s="36"/>
      <c r="M132" s="36"/>
      <c r="N132" s="36"/>
      <c r="O132" s="36"/>
      <c r="P132" s="36"/>
      <c r="Q132" s="36"/>
      <c r="R132" s="36"/>
    </row>
    <row r="133" spans="1:18" x14ac:dyDescent="0.25">
      <c r="A133" s="50" t="s">
        <v>564</v>
      </c>
      <c r="B133" s="87">
        <v>48.03</v>
      </c>
      <c r="C133" s="543">
        <f>B133*'Energy Content Assumptions'!C19</f>
        <v>43.227000000000004</v>
      </c>
      <c r="D133" s="36"/>
      <c r="E133" s="36"/>
      <c r="F133" s="36"/>
      <c r="G133" s="36"/>
      <c r="H133" s="36"/>
      <c r="I133" s="36"/>
      <c r="J133" s="36"/>
      <c r="K133" s="36"/>
      <c r="L133" s="36"/>
      <c r="M133" s="36"/>
      <c r="N133" s="36"/>
      <c r="O133" s="36"/>
      <c r="P133" s="36"/>
      <c r="Q133" s="36"/>
      <c r="R133" s="36"/>
    </row>
    <row r="134" spans="1:18" x14ac:dyDescent="0.25">
      <c r="A134" s="50" t="s">
        <v>565</v>
      </c>
      <c r="B134" s="87">
        <v>826.92</v>
      </c>
      <c r="C134" s="543">
        <f>B134*'Energy Content Assumptions'!C32</f>
        <v>661.53600000000006</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Assumptions'!$M$25</f>
        <v>113829.62</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Assumptions'!$F$25</f>
        <v>78280.75</v>
      </c>
      <c r="C138" s="543">
        <f>B138*'Energy Content Assumptions'!$C$28</f>
        <v>39140.375</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Assumptions'!$H$25</f>
        <v>2975.8</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Assumptions'!$I$25</f>
        <v>75304.95</v>
      </c>
      <c r="C140" s="543">
        <f>B140*'Energy Content Assumptions'!$C$28</f>
        <v>37652.474999999999</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Assumptions'!J25,'Biomass Data Assumptions'!F25*'Biomass Data Assumptions'!I41)</f>
        <v>11913.24309</v>
      </c>
      <c r="C141" s="543">
        <f>B141*'Energy Content Assumptions'!C26</f>
        <v>3573.9729269999998</v>
      </c>
      <c r="D141" s="36"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Assumptions'!K25,'Biomass Data Assumptions'!F25*'Biomass Data Assumptions'!I42)</f>
        <v>14646.812775</v>
      </c>
      <c r="C142" s="543">
        <f>B142*'Energy Content Assumptions'!C27</f>
        <v>13182.1314975</v>
      </c>
      <c r="D142" s="36"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Assumptions'!L25,'Biomass Data Assumptions'!F25*'Biomass Data Assumptions'!I43)</f>
        <v>20279.623034999997</v>
      </c>
      <c r="C143" s="543">
        <f>B143*'Energy Content Assumptions'!$C$28</f>
        <v>10139.811517499998</v>
      </c>
      <c r="D143" s="546" t="s">
        <v>1064</v>
      </c>
      <c r="E143" s="36"/>
      <c r="F143" s="36"/>
      <c r="G143" s="36"/>
      <c r="H143" s="36"/>
      <c r="I143" s="36"/>
      <c r="J143" s="36"/>
      <c r="K143" s="36"/>
      <c r="L143" s="36"/>
      <c r="M143" s="36"/>
      <c r="N143" s="36"/>
      <c r="O143" s="36"/>
      <c r="P143" s="36"/>
      <c r="Q143" s="36"/>
      <c r="R143" s="36"/>
    </row>
    <row r="144" spans="1:18" x14ac:dyDescent="0.25">
      <c r="A144" s="50" t="s">
        <v>463</v>
      </c>
      <c r="B144" s="87">
        <v>11007.95</v>
      </c>
      <c r="C144" s="543">
        <f>B144*'Energy Content Assumptions'!C29</f>
        <v>8806.36</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3522.5440000000003</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Assumptions'!R25/2000</f>
        <v>656.76599999999996</v>
      </c>
      <c r="C148" s="1239">
        <f>B148*'Energy Content Assumptions'!C39</f>
        <v>558.25109999999995</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Assumptions'!S25/2000</f>
        <v>997.83652499999994</v>
      </c>
      <c r="C149" s="1239">
        <f>B149*'Energy Content Assumptions'!C40</f>
        <v>49.891826250000001</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99"/>
  <sheetViews>
    <sheetView topLeftCell="A107"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ht="15.6" x14ac:dyDescent="0.3">
      <c r="A1" s="407" t="s">
        <v>572</v>
      </c>
      <c r="C1" s="411"/>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2012</v>
      </c>
      <c r="F4" s="22">
        <v>2015</v>
      </c>
      <c r="G4" s="22">
        <v>2020</v>
      </c>
      <c r="H4" s="22">
        <v>2025</v>
      </c>
      <c r="I4" s="22">
        <v>2012</v>
      </c>
      <c r="J4" s="22">
        <v>2015</v>
      </c>
      <c r="K4" s="22">
        <v>2020</v>
      </c>
      <c r="L4" s="22">
        <v>2025</v>
      </c>
      <c r="M4" s="22">
        <v>2012</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0</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0</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0</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0</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 t="shared" ref="C11:P11" si="1">SUM(C5:C10)</f>
        <v>0</v>
      </c>
      <c r="D11" s="295">
        <f t="shared" si="1"/>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0.85</v>
      </c>
      <c r="D15" s="294">
        <f>E15*'Conversion Tables'!C14</f>
        <v>10.697760000000001</v>
      </c>
      <c r="E15" s="294">
        <f>C15*'Prac. Rec. Assumptions'!B11</f>
        <v>0.68</v>
      </c>
      <c r="F15" s="294">
        <f>$E15</f>
        <v>0.68</v>
      </c>
      <c r="G15" s="294">
        <f>$E15</f>
        <v>0.68</v>
      </c>
      <c r="H15" s="294">
        <f>$E15</f>
        <v>0.68</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3.8249999999999997</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0</v>
      </c>
      <c r="D17" s="294">
        <f>E17*'Conversion Tables'!C16</f>
        <v>0</v>
      </c>
      <c r="E17" s="294">
        <f>C17*'Prac. Rec. Assumptions'!B13</f>
        <v>0</v>
      </c>
      <c r="F17" s="294">
        <f t="shared" si="2"/>
        <v>0</v>
      </c>
      <c r="G17" s="294">
        <f t="shared" si="2"/>
        <v>0</v>
      </c>
      <c r="H17" s="294">
        <f t="shared" si="2"/>
        <v>0</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0</v>
      </c>
      <c r="D18" s="294">
        <f>E18*'Conversion Tables'!C17</f>
        <v>0</v>
      </c>
      <c r="E18" s="294">
        <f>C18*'Prac. Rec. Assumptions'!B14</f>
        <v>0</v>
      </c>
      <c r="F18" s="294">
        <f t="shared" si="2"/>
        <v>0</v>
      </c>
      <c r="G18" s="294">
        <f t="shared" si="2"/>
        <v>0</v>
      </c>
      <c r="H18" s="294">
        <f t="shared" si="2"/>
        <v>0</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0</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0</v>
      </c>
      <c r="D20" s="294">
        <f>E20*'Conversion Tables'!C19</f>
        <v>0</v>
      </c>
      <c r="E20" s="294">
        <f>C20*'Prac. Rec. Assumptions'!B16</f>
        <v>0</v>
      </c>
      <c r="F20" s="294">
        <f t="shared" si="2"/>
        <v>0</v>
      </c>
      <c r="G20" s="294">
        <f t="shared" si="2"/>
        <v>0</v>
      </c>
      <c r="H20" s="294">
        <f t="shared" si="2"/>
        <v>0</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0</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Assumptions'!P26*1000*'Energy Content Assumptions'!C18</f>
        <v>0</v>
      </c>
      <c r="D22" s="294">
        <f>E22*'Conversion Tables'!C21</f>
        <v>0</v>
      </c>
      <c r="E22" s="294">
        <f>C22*'Prac. Rec. Assumptions'!B18</f>
        <v>0</v>
      </c>
      <c r="F22" s="294">
        <f t="shared" si="2"/>
        <v>0</v>
      </c>
      <c r="G22" s="294">
        <f t="shared" si="2"/>
        <v>0</v>
      </c>
      <c r="H22" s="294">
        <f t="shared" si="2"/>
        <v>0</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6590.9</v>
      </c>
      <c r="D23" s="294">
        <f>E23*'Conversion Tables'!C22</f>
        <v>107668.94239999999</v>
      </c>
      <c r="E23" s="294">
        <f>C23*'Prac. Rec. Assumptions'!B19</f>
        <v>6590.9</v>
      </c>
      <c r="F23" s="297">
        <f t="shared" si="2"/>
        <v>6590.9</v>
      </c>
      <c r="G23" s="297">
        <f t="shared" si="2"/>
        <v>6590.9</v>
      </c>
      <c r="H23" s="297">
        <f t="shared" si="2"/>
        <v>6590.9</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11170.54</v>
      </c>
      <c r="D25" s="294">
        <f>E25*'Conversion Tables'!C24</f>
        <v>197718.55800000002</v>
      </c>
      <c r="E25" s="294">
        <f>C25*'Prac. Rec. Assumptions'!B21</f>
        <v>11170.54</v>
      </c>
      <c r="F25" s="294">
        <f>($C25*(1+'Biomass Data Assumptions'!G$111))*'Prac. Rec. Assumptions'!$B21</f>
        <v>11187.66616328095</v>
      </c>
      <c r="G25" s="294">
        <f>($C25*(1+'Biomass Data Assumptions'!H$111))*'Prac. Rec. Assumptions'!$B21</f>
        <v>11219.777719432732</v>
      </c>
      <c r="H25" s="294">
        <f>($C25*(1+'Biomass Data Assumptions'!I$111))*'Prac. Rec. Assumptions'!$B21</f>
        <v>11266.874668455348</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3863.7733333333331</v>
      </c>
      <c r="D26" s="294">
        <f>E26*'Conversion Tables'!C25</f>
        <v>60274.863999999994</v>
      </c>
      <c r="E26" s="294">
        <f>C26*'Prac. Rec. Assumptions'!B22</f>
        <v>3863.7733333333331</v>
      </c>
      <c r="F26" s="294">
        <f>($C26*(1+'Biomass Data Assumptions'!G$111))*'Prac. Rec. Assumptions'!$B22</f>
        <v>3869.6970946722877</v>
      </c>
      <c r="G26" s="294">
        <f>($C26*(1+'Biomass Data Assumptions'!H$111))*'Prac. Rec. Assumptions'!$B22</f>
        <v>3880.8041471828278</v>
      </c>
      <c r="H26" s="294">
        <f>($C26*(1+'Biomass Data Assumptions'!I$111))*'Prac. Rec. Assumptions'!$B22</f>
        <v>3897.0944908649549</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14198.346666666666</v>
      </c>
      <c r="D27" s="294">
        <f>E27*'Conversion Tables'!C26</f>
        <v>221494.20799999998</v>
      </c>
      <c r="E27" s="294">
        <f>C27*'Prac. Rec. Assumptions'!B23</f>
        <v>14198.346666666666</v>
      </c>
      <c r="F27" s="294">
        <f>($C27*(1+'Biomass Data Assumptions'!G$111))*'Prac. Rec. Assumptions'!$B23</f>
        <v>14220.114925258718</v>
      </c>
      <c r="G27" s="294">
        <f>($C27*(1+'Biomass Data Assumptions'!H$111))*'Prac. Rec. Assumptions'!$B23</f>
        <v>14260.930410118817</v>
      </c>
      <c r="H27" s="294">
        <f>($C27*(1+'Biomass Data Assumptions'!I$111))*'Prac. Rec. Assumptions'!$B23</f>
        <v>14320.793121246967</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194.27</v>
      </c>
      <c r="D28" s="294">
        <f>E28*'Conversion Tables'!C27</f>
        <v>3438.5790000000002</v>
      </c>
      <c r="E28" s="294">
        <f>C28*'Prac. Rec. Assumptions'!B24</f>
        <v>194.27</v>
      </c>
      <c r="F28" s="294">
        <f>($C28*(1+'Biomass Data Assumptions'!G$111))*'Prac. Rec. Assumptions'!$B24</f>
        <v>194.56784591797623</v>
      </c>
      <c r="G28" s="294">
        <f>($C28*(1+'Biomass Data Assumptions'!H$111))*'Prac. Rec. Assumptions'!$B24</f>
        <v>195.12630701418166</v>
      </c>
      <c r="H28" s="294">
        <f>($C28*(1+'Biomass Data Assumptions'!I$111))*'Prac. Rec. Assumptions'!$B24</f>
        <v>195.94538328861634</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36022.504999999997</v>
      </c>
      <c r="D29" s="295">
        <f>SUM(D13:D28)</f>
        <v>590605.8491600001</v>
      </c>
      <c r="E29" s="295">
        <f t="shared" si="3"/>
        <v>36018.51</v>
      </c>
      <c r="F29" s="295">
        <f>SUM(F13:F28)</f>
        <v>36063.626029129933</v>
      </c>
      <c r="G29" s="295">
        <f>SUM(G13:G28)</f>
        <v>36148.218583748552</v>
      </c>
      <c r="H29" s="295">
        <f>SUM(H13:H28)</f>
        <v>36272.287663855888</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1355.6023529999993</v>
      </c>
      <c r="D32" s="294">
        <f>E32*'Conversion Tables'!C29</f>
        <v>13013.782588799995</v>
      </c>
      <c r="E32" s="294">
        <f>C32*'Prac. Rec. Assumptions'!B26</f>
        <v>813.3614117999997</v>
      </c>
      <c r="F32" s="294">
        <f>($C32*(1+'Biomass Data Assumptions'!G$111)*(1+'Biomass Data Assumptions'!C$82))*'Prac. Rec. Assumptions'!$B26</f>
        <v>814.05531805720875</v>
      </c>
      <c r="G32" s="294">
        <f>($C32*(1+'Biomass Data Assumptions'!H$111)*(1+'Biomass Data Assumptions'!D$82))*'Prac. Rec. Assumptions'!$B26</f>
        <v>815.83755843288577</v>
      </c>
      <c r="H32" s="294">
        <f>($C32*(1+'Biomass Data Assumptions'!I$111)*(1+'Biomass Data Assumptions'!E$82))*'Prac. Rec. Assumptions'!$B26</f>
        <v>818.70591484304657</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4999.9619024999984</v>
      </c>
      <c r="D33" s="294">
        <f>E33*'Conversion Tables'!C30</f>
        <v>58087.557398483987</v>
      </c>
      <c r="E33" s="294">
        <f>C33*'Prac. Rec. Assumptions'!B27</f>
        <v>3999.969521999999</v>
      </c>
      <c r="F33" s="294">
        <f>($C33*(1+'Biomass Data Assumptions'!G$111)*(1+'Biomass Data Assumptions'!C$82))*'Prac. Rec. Assumptions'!$B27</f>
        <v>4003.3820319121901</v>
      </c>
      <c r="G33" s="294">
        <f>($C33*(1+'Biomass Data Assumptions'!H$111)*(1+'Biomass Data Assumptions'!D$82))*'Prac. Rec. Assumptions'!$B27</f>
        <v>4012.146779145291</v>
      </c>
      <c r="H33" s="294">
        <f>($C33*(1+'Biomass Data Assumptions'!I$111)*(1+'Biomass Data Assumptions'!E$82))*'Prac. Rec. Assumptions'!$B27</f>
        <v>4026.2528555492427</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3846.0146824999983</v>
      </c>
      <c r="D34" s="294">
        <f>E34*'Conversion Tables'!C31</f>
        <v>40213.314157870787</v>
      </c>
      <c r="E34" s="294">
        <f>C34*'Prac. Rec. Assumptions'!B28</f>
        <v>2769.1305713999991</v>
      </c>
      <c r="F34" s="294">
        <f>($C34*(1+'Biomass Data Assumptions'!G$111)*(1+'Biomass Data Assumptions'!C$82))*'Prac. Rec. Assumptions'!$B28</f>
        <v>2771.4930107813693</v>
      </c>
      <c r="G34" s="294">
        <f>($C34*(1+'Biomass Data Assumptions'!H$111)*(1+'Biomass Data Assumptions'!D$82))*'Prac. Rec. Assumptions'!$B28</f>
        <v>2777.5607393928717</v>
      </c>
      <c r="H34" s="294">
        <f>($C34*(1+'Biomass Data Assumptions'!I$111)*(1+'Biomass Data Assumptions'!E$82))*'Prac. Rec. Assumptions'!$B28</f>
        <v>2787.3262056540134</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22937.728000000003</v>
      </c>
      <c r="D35" s="294">
        <f>E35*'Conversion Tables'!C32</f>
        <v>259838.58278400006</v>
      </c>
      <c r="E35" s="294">
        <f>C35*'Prac. Rec. Assumptions'!B29</f>
        <v>14680.145920000004</v>
      </c>
      <c r="F35" s="294">
        <f>($C35*(1+'Biomass Data Assumptions'!G$111)*(1+'Biomass Data Assumptions'!C$83))*'Prac. Rec. Assumptions'!$B29</f>
        <v>15440.889123913836</v>
      </c>
      <c r="G35" s="294">
        <f>($C35*(1+'Biomass Data Assumptions'!H$111)*(1+'Biomass Data Assumptions'!D$83))*'Prac. Rec. Assumptions'!$B29</f>
        <v>16262.737803012564</v>
      </c>
      <c r="H35" s="294">
        <f>($C35*(1+'Biomass Data Assumptions'!I$111)*(1+'Biomass Data Assumptions'!E$83))*'Prac. Rec. Assumptions'!$B29</f>
        <v>17151.000981476809</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1239.29</v>
      </c>
      <c r="D37" s="294">
        <f>E37*'Conversion Tables'!C34</f>
        <v>19828.64</v>
      </c>
      <c r="E37" s="294">
        <f>C37*'Prac. Rec. Assumptions'!B31</f>
        <v>1239.29</v>
      </c>
      <c r="F37" s="294">
        <f>($C37*(1+'Biomass Data Assumptions'!G$111)*(1+'Biomass Data Assumptions'!C$84))*'Prac. Rec. Assumptions'!$B31</f>
        <v>1357.2117314382788</v>
      </c>
      <c r="G37" s="294">
        <f>($C37*(1+'Biomass Data Assumptions'!H$111)*(1+'Biomass Data Assumptions'!D$84))*'Prac. Rec. Assumptions'!$B31</f>
        <v>1488.3384043631766</v>
      </c>
      <c r="H37" s="294">
        <f>($C37*(1+'Biomass Data Assumptions'!I$111)*(1+'Biomass Data Assumptions'!E$84))*'Prac. Rec. Assumptions'!$B31</f>
        <v>1634.2941551844701</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2479.1680000000001</v>
      </c>
      <c r="D38" s="294">
        <f>E38*'Conversion Tables'!C35</f>
        <v>21940.6368</v>
      </c>
      <c r="E38" s="294">
        <f>C38*'Prac. Rec. Assumptions'!B32</f>
        <v>1239.5840000000001</v>
      </c>
      <c r="F38" s="294">
        <f>($C38*(1+'Biomass Data Assumptions'!G$111)*(1+'Biomass Data Assumptions'!C$84))*'Prac. Rec. Assumptions'!$B32</f>
        <v>1357.5337063182851</v>
      </c>
      <c r="G38" s="294">
        <f>($C38*(1+'Biomass Data Assumptions'!H$111)*(1+'Biomass Data Assumptions'!D$84))*'Prac. Rec. Assumptions'!$B32</f>
        <v>1488.6914867659093</v>
      </c>
      <c r="H38" s="294">
        <f>($C38*(1+'Biomass Data Assumptions'!I$111)*(1+'Biomass Data Assumptions'!E$84))*'Prac. Rec. Assumptions'!$B32</f>
        <v>1634.681863050768</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21050.207999999999</v>
      </c>
      <c r="D39" s="299">
        <f>E39*'Conversion Tables'!C36</f>
        <v>0</v>
      </c>
      <c r="E39" s="299">
        <f>C39*'Prac. Rec. Assumptions'!B33</f>
        <v>0</v>
      </c>
      <c r="F39" s="294">
        <f>($C39*(1+'Biomass Data Assumptions'!G$111)*(1+'Biomass Data Assumptions'!C$84))*'Prac. Rec. Assumptions'!$B33</f>
        <v>0</v>
      </c>
      <c r="G39" s="294">
        <f>($C39*(1+'Biomass Data Assumptions'!H$111)*(1+'Biomass Data Assumptions'!D$84))*'Prac. Rec. Assumptions'!$B33</f>
        <v>0</v>
      </c>
      <c r="H39" s="294">
        <f>($C39*(1+'Biomass Data Assumptions'!I$111)*(1+'Biomass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5024.5650000000005</v>
      </c>
      <c r="D40" s="299">
        <f>E40*'Conversion Tables'!C37</f>
        <v>0</v>
      </c>
      <c r="E40" s="299">
        <f>C40*'Prac. Rec. Assumptions'!B34</f>
        <v>0</v>
      </c>
      <c r="F40" s="294">
        <f>($C40*(1+'Biomass Data Assumptions'!G$111)*(1+'Biomass Data Assumptions'!C$84))*'Prac. Rec. Assumptions'!$B34</f>
        <v>0</v>
      </c>
      <c r="G40" s="294">
        <f>($C40*(1+'Biomass Data Assumptions'!H$111)*(1+'Biomass Data Assumptions'!D$84))*'Prac. Rec. Assumptions'!$B34</f>
        <v>0</v>
      </c>
      <c r="H40" s="294">
        <f>($C40*(1+'Biomass Data Assumptions'!I$111)*(1+'Biomass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10996.325999999999</v>
      </c>
      <c r="D41" s="299">
        <f>E41*'Conversion Tables'!C38</f>
        <v>0</v>
      </c>
      <c r="E41" s="299">
        <f>C41*'Prac. Rec. Assumptions'!B35</f>
        <v>0</v>
      </c>
      <c r="F41" s="294">
        <f>($C41*(1+'Biomass Data Assumptions'!G$111)*(1+'Biomass Data Assumptions'!C$84))*'Prac. Rec. Assumptions'!$B35</f>
        <v>0</v>
      </c>
      <c r="G41" s="294">
        <f>($C41*(1+'Biomass Data Assumptions'!H$111)*(1+'Biomass Data Assumptions'!D$84))*'Prac. Rec. Assumptions'!$B35</f>
        <v>0</v>
      </c>
      <c r="H41" s="294">
        <f>($C41*(1+'Biomass Data Assumptions'!I$111)*(1+'Biomass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2810.1509999999998</v>
      </c>
      <c r="D42" s="299">
        <f>E42*'Conversion Tables'!C39</f>
        <v>40809.012821999997</v>
      </c>
      <c r="E42" s="299">
        <f>C42*'Prac. Rec. Assumptions'!B36</f>
        <v>2810.1509999999998</v>
      </c>
      <c r="F42" s="294">
        <f>($C42*(1+'Biomass Data Assumptions'!G$111)*(1+'Biomass Data Assumptions'!C$84))*'Prac. Rec. Assumptions'!$B36</f>
        <v>3077.5443232116859</v>
      </c>
      <c r="G42" s="294">
        <f>($C42*(1+'Biomass Data Assumptions'!H$111)*(1+'Biomass Data Assumptions'!D$84))*'Prac. Rec. Assumptions'!$B36</f>
        <v>3374.8805004152255</v>
      </c>
      <c r="H42" s="294">
        <f>($C42*(1+'Biomass Data Assumptions'!I$111)*(1+'Biomass Data Assumptions'!E$84))*'Prac. Rec. Assumptions'!$B36</f>
        <v>3705.8423407643031</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 t="shared" ref="C43:P43" si="4">SUM(C31:C42)</f>
        <v>76739.014937999993</v>
      </c>
      <c r="D43" s="295">
        <f t="shared" si="4"/>
        <v>453731.52655115485</v>
      </c>
      <c r="E43" s="295">
        <f t="shared" si="4"/>
        <v>27551.632425200005</v>
      </c>
      <c r="F43" s="295">
        <f t="shared" si="4"/>
        <v>28822.109245632852</v>
      </c>
      <c r="G43" s="295">
        <f t="shared" si="4"/>
        <v>30220.193271527925</v>
      </c>
      <c r="H43" s="295">
        <f t="shared" si="4"/>
        <v>31758.104316522655</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0</v>
      </c>
      <c r="D46" s="294">
        <f>E46*'Conversion Tables'!C41</f>
        <v>0</v>
      </c>
      <c r="E46" s="294">
        <f>C46*'Prac. Rec. Assumptions'!B38</f>
        <v>0</v>
      </c>
      <c r="F46" s="294">
        <f>$E46</f>
        <v>0</v>
      </c>
      <c r="G46" s="294">
        <f>$E46</f>
        <v>0</v>
      </c>
      <c r="H46" s="294">
        <f>$E46</f>
        <v>0</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2006.5062600000001</v>
      </c>
      <c r="D47" s="294"/>
      <c r="E47" s="294">
        <f>C47*'Prac. Rec. Assumptions'!B39</f>
        <v>1003.2531300000001</v>
      </c>
      <c r="F47" s="294">
        <f>($C47*(1+'Biomass Data Assumptions'!G$111))*'Prac. Rec. Assumptions'!$B39</f>
        <v>1004.7912720160981</v>
      </c>
      <c r="G47" s="294">
        <f>($C47*(1+'Biomass Data Assumptions'!H$111))*'Prac. Rec. Assumptions'!$B39</f>
        <v>1007.675288296282</v>
      </c>
      <c r="H47" s="294">
        <f>($C47*(1+'Biomass Data Assumptions'!I$111))*'Prac. Rec. Assumptions'!$B39</f>
        <v>1011.905178840552</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179.32479075000001</v>
      </c>
      <c r="D48" s="294"/>
      <c r="E48" s="294">
        <f>C48*'Prac. Rec. Assumptions'!B40</f>
        <v>179.32479075000001</v>
      </c>
      <c r="F48" s="294">
        <f>($C48*(1+'Biomass Data Assumptions'!G$111))*'Prac. Rec. Assumptions'!$B40</f>
        <v>179.59972335367956</v>
      </c>
      <c r="G48" s="294">
        <f>($C48*(1+'Biomass Data Assumptions'!H$111))*'Prac. Rec. Assumptions'!$B40</f>
        <v>180.11522198557876</v>
      </c>
      <c r="H48" s="294">
        <f>($C48*(1+'Biomass Data Assumptions'!I$111))*'Prac. Rec. Assumptions'!$B40</f>
        <v>180.87128664569761</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 t="shared" ref="C49:P49" si="6">SUM(C45:C48)</f>
        <v>2185.83105075</v>
      </c>
      <c r="D49" s="295">
        <f>SUM(D45:D48)</f>
        <v>0</v>
      </c>
      <c r="E49" s="295">
        <f t="shared" si="6"/>
        <v>1182.57792075</v>
      </c>
      <c r="F49" s="295">
        <f>SUM(F45:F48)</f>
        <v>1184.3909953697776</v>
      </c>
      <c r="G49" s="295">
        <f>SUM(G45:G48)</f>
        <v>1187.7905102818609</v>
      </c>
      <c r="H49" s="295">
        <f>SUM(H45:H48)</f>
        <v>1192.7764654862497</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0</v>
      </c>
      <c r="D52" s="299">
        <f>E52*'Conversion Tables'!C45</f>
        <v>0</v>
      </c>
      <c r="E52" s="299">
        <f>C52*'Prac. Rec. Assumptions'!B42</f>
        <v>0</v>
      </c>
      <c r="F52" s="294">
        <f t="shared" ref="F52:H59" si="7">$E52</f>
        <v>0</v>
      </c>
      <c r="G52" s="294">
        <f t="shared" si="7"/>
        <v>0</v>
      </c>
      <c r="H52" s="294">
        <f t="shared" si="7"/>
        <v>0</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0</v>
      </c>
      <c r="D53" s="299">
        <f>E53*'Conversion Tables'!C46</f>
        <v>0</v>
      </c>
      <c r="E53" s="299">
        <f>C53*'Prac. Rec. Assumptions'!B43</f>
        <v>0</v>
      </c>
      <c r="F53" s="294">
        <f t="shared" si="7"/>
        <v>0</v>
      </c>
      <c r="G53" s="294">
        <f t="shared" si="7"/>
        <v>0</v>
      </c>
      <c r="H53" s="294">
        <f t="shared" si="7"/>
        <v>0</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6.8930249999999997</v>
      </c>
      <c r="D54" s="299">
        <f>E54*'Conversion Tables'!C47</f>
        <v>61.061172659999997</v>
      </c>
      <c r="E54" s="299">
        <f>C54*'Prac. Rec. Assumptions'!B44</f>
        <v>4.135815</v>
      </c>
      <c r="F54" s="294">
        <f t="shared" si="7"/>
        <v>4.135815</v>
      </c>
      <c r="G54" s="294">
        <f t="shared" si="7"/>
        <v>4.135815</v>
      </c>
      <c r="H54" s="294">
        <f t="shared" si="7"/>
        <v>4.135815</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0</v>
      </c>
      <c r="D55" s="299">
        <f>E55*'Conversion Tables'!C48</f>
        <v>0</v>
      </c>
      <c r="E55" s="299">
        <f>C55*'Prac. Rec. Assumptions'!B45</f>
        <v>0</v>
      </c>
      <c r="F55" s="294">
        <f t="shared" si="7"/>
        <v>0</v>
      </c>
      <c r="G55" s="294">
        <f t="shared" si="7"/>
        <v>0</v>
      </c>
      <c r="H55" s="294">
        <f t="shared" si="7"/>
        <v>0</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0</v>
      </c>
      <c r="D56" s="299">
        <f>E56*'Conversion Tables'!C49</f>
        <v>0</v>
      </c>
      <c r="E56" s="299">
        <f>C56*'Prac. Rec. Assumptions'!B46</f>
        <v>0</v>
      </c>
      <c r="F56" s="294">
        <f t="shared" si="7"/>
        <v>0</v>
      </c>
      <c r="G56" s="294">
        <f t="shared" si="7"/>
        <v>0</v>
      </c>
      <c r="H56" s="294">
        <f t="shared" si="7"/>
        <v>0</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0</v>
      </c>
      <c r="D57" s="299">
        <f>E57*'Conversion Tables'!C50</f>
        <v>0</v>
      </c>
      <c r="E57" s="299">
        <f>C57*'Prac. Rec. Assumptions'!B47</f>
        <v>0</v>
      </c>
      <c r="F57" s="294">
        <f t="shared" si="7"/>
        <v>0</v>
      </c>
      <c r="G57" s="294">
        <f t="shared" si="7"/>
        <v>0</v>
      </c>
      <c r="H57" s="294">
        <f t="shared" si="7"/>
        <v>0</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0</v>
      </c>
      <c r="D58" s="299">
        <f>E58*'Conversion Tables'!C51</f>
        <v>0</v>
      </c>
      <c r="E58" s="299">
        <f>C58*'Prac. Rec. Assumptions'!B48</f>
        <v>0</v>
      </c>
      <c r="F58" s="294">
        <f t="shared" si="7"/>
        <v>0</v>
      </c>
      <c r="G58" s="294">
        <f t="shared" si="7"/>
        <v>0</v>
      </c>
      <c r="H58" s="294">
        <f t="shared" si="7"/>
        <v>0</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0</v>
      </c>
      <c r="D59" s="299">
        <f>E59*'Conversion Tables'!C52</f>
        <v>0</v>
      </c>
      <c r="E59" s="299">
        <f>C59*'Prac. Rec. Assumptions'!B49</f>
        <v>0</v>
      </c>
      <c r="F59" s="294">
        <f t="shared" si="7"/>
        <v>0</v>
      </c>
      <c r="G59" s="294">
        <f t="shared" si="7"/>
        <v>0</v>
      </c>
      <c r="H59" s="294">
        <f t="shared" si="7"/>
        <v>0</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Assumptions'!AE26</f>
        <v>1084.7832709999984</v>
      </c>
      <c r="D60" s="299">
        <f>E60*'Conversion Tables'!C53</f>
        <v>13017.399251999981</v>
      </c>
      <c r="E60" s="299">
        <f>C60*'Prac. Rec. Assumptions'!B50</f>
        <v>1084.7832709999984</v>
      </c>
      <c r="F60" s="294">
        <f>($C60*(1+'Biomass Data Assumptions'!G$111*(4/5)))*'Prac. Rec. Assumptions'!$B50</f>
        <v>1086.1137832526624</v>
      </c>
      <c r="G60" s="294">
        <f>($C60*(1+'Biomass Data Assumptions'!H$111*(9/10)))*'Prac. Rec. Assumptions'!$B50</f>
        <v>1089.0866465672079</v>
      </c>
      <c r="H60" s="294">
        <f>($C60*(1+'Biomass Data Assumptions'!I$111*(14/15)))*'Prac. Rec. Assumptions'!$B50</f>
        <v>1093.5147576581051</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1091.6762959999985</v>
      </c>
      <c r="D61" s="295">
        <f>SUM(D52:D60)</f>
        <v>13078.460424659981</v>
      </c>
      <c r="E61" s="295">
        <f t="shared" ref="E61:P61" si="8">SUM(E52:E60)</f>
        <v>1088.9190859999985</v>
      </c>
      <c r="F61" s="295">
        <f>SUM(F52:F60)</f>
        <v>1090.2495982526625</v>
      </c>
      <c r="G61" s="295">
        <f>SUM(G52:G60)</f>
        <v>1093.222461567208</v>
      </c>
      <c r="H61" s="295">
        <f>SUM(H52:H60)</f>
        <v>1097.6505726581051</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Assumptions'!AB26</f>
        <v>364.86976800000002</v>
      </c>
      <c r="D63" s="300">
        <f>E63*'Conversion Tables'!C55</f>
        <v>225854.38639200001</v>
      </c>
      <c r="E63" s="299">
        <f>C63*'Prac. Rec. Assumptions'!B51</f>
        <v>364.86976800000002</v>
      </c>
      <c r="F63" s="294">
        <f>($C63*(1+'Biomass Data Assumptions'!G$111*(4/5)))*'Prac. Rec. Assumptions'!$B51</f>
        <v>365.31728937125337</v>
      </c>
      <c r="G63" s="294">
        <f>($C63*(1+'Biomass Data Assumptions'!H$111*(9/10)))*'Prac. Rec. Assumptions'!$B51</f>
        <v>366.31721993514753</v>
      </c>
      <c r="H63" s="294">
        <f>($C63*(1+'Biomass Data Assumptions'!I$111*(14/15)))*'Prac. Rec. Assumptions'!$B51</f>
        <v>367.80662699885016</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Assumptions'!X26</f>
        <v>0</v>
      </c>
      <c r="D64" s="300">
        <f>E64*'Conversion Tables'!C56</f>
        <v>0</v>
      </c>
      <c r="E64" s="299">
        <f>C64*'Prac. Rec. Assumptions'!B52</f>
        <v>0</v>
      </c>
      <c r="F64" s="545">
        <f>($C64*(1+'Biomass Data Assumptions'!G$111*(3/5))*(1+('Biomass Data Assumptions'!C$82-((1+'Biomass Data Assumptions'!$B$82)^2 - 1))))*'Prac. Rec. Assumptions'!$B52</f>
        <v>0</v>
      </c>
      <c r="G64" s="545">
        <f>($C64*(1+'Biomass Data Assumptions'!H$111*(4/5))*(1+('Biomass Data Assumptions'!D$82-((1+'Biomass Data Assumptions'!$B$82)^2 - 1))))*'Prac. Rec. Assumptions'!$B52</f>
        <v>0</v>
      </c>
      <c r="H64" s="545">
        <f>($C64*(1+'Biomass Data Assumptions'!I$111*(13/15))*(1+('Biomass Data Assumptions'!E$82-((1+'Biomass Data Assumptions'!$B$82)^2 - 1))))*'Prac. Rec. Assumptions'!$B52</f>
        <v>0</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364.86976800000002</v>
      </c>
      <c r="D65" s="295">
        <f>SUM(D63:D64)</f>
        <v>225854.38639200001</v>
      </c>
      <c r="E65" s="295">
        <f t="shared" ref="E65:P65" si="9">SUM(E63:E64)</f>
        <v>364.86976800000002</v>
      </c>
      <c r="F65" s="295">
        <f>SUM(F63:F64)</f>
        <v>365.31728937125337</v>
      </c>
      <c r="G65" s="295">
        <f>SUM(G63:G64)</f>
        <v>366.31721993514753</v>
      </c>
      <c r="H65" s="295">
        <f>SUM(H63:H64)</f>
        <v>367.80662699885016</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13465.529517859932</v>
      </c>
      <c r="D67" s="295">
        <f t="shared" ref="D67" si="10">D61+D65</f>
        <v>238932.84681665999</v>
      </c>
      <c r="E67" s="295">
        <f>E61+(E63*1000000/29487.1582406855)+(E64*1000000/25364.5039539246)</f>
        <v>13462.772307859932</v>
      </c>
      <c r="F67" s="295">
        <f t="shared" ref="F67:H67" si="11">F61+(F63*1000000/29487.1582406855)+(F64*1000000/25364.5039539246)</f>
        <v>13479.279642768768</v>
      </c>
      <c r="G67" s="295">
        <f t="shared" si="11"/>
        <v>13516.163219205695</v>
      </c>
      <c r="H67" s="295">
        <f t="shared" si="11"/>
        <v>13571.101693199167</v>
      </c>
      <c r="I67" s="19">
        <f t="shared" ref="I67:P67" si="12">I61+I65</f>
        <v>0</v>
      </c>
      <c r="J67" s="19">
        <f t="shared" si="12"/>
        <v>0</v>
      </c>
      <c r="K67" s="19">
        <f t="shared" si="12"/>
        <v>0</v>
      </c>
      <c r="L67" s="19">
        <f t="shared" si="12"/>
        <v>0</v>
      </c>
      <c r="M67" s="19">
        <f t="shared" si="12"/>
        <v>0</v>
      </c>
      <c r="N67" s="19">
        <f t="shared" si="12"/>
        <v>0</v>
      </c>
      <c r="O67" s="19">
        <f t="shared" si="12"/>
        <v>0</v>
      </c>
      <c r="P67" s="19">
        <f t="shared" si="12"/>
        <v>0</v>
      </c>
      <c r="Q67" s="19"/>
    </row>
    <row r="68" spans="1:19" customFormat="1" x14ac:dyDescent="0.25">
      <c r="B68" s="270" t="s">
        <v>162</v>
      </c>
      <c r="C68" s="132">
        <f>C11+C29+C43+C49+C67</f>
        <v>128412.88050660992</v>
      </c>
      <c r="D68" s="132"/>
      <c r="E68" s="132">
        <f>E11+E29+E43+E49+E67</f>
        <v>78215.492653809939</v>
      </c>
      <c r="F68" s="132">
        <f>F11+F29+F43+F49+F67</f>
        <v>79549.405912901333</v>
      </c>
      <c r="G68" s="132">
        <f>G11+G29+G43+G49+G67</f>
        <v>81072.365584764033</v>
      </c>
      <c r="H68" s="132">
        <f>H11+H29+H43+H49+H67</f>
        <v>82794.270139063956</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3">SUM(N8:N66)/2</f>
        <v>0</v>
      </c>
      <c r="O69" s="1003">
        <f t="shared" si="13"/>
        <v>0</v>
      </c>
      <c r="P69" s="1003">
        <f t="shared" si="13"/>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0</v>
      </c>
      <c r="C74" s="40">
        <f>'Biomass Data Assumptions'!B38*B74</f>
        <v>0</v>
      </c>
      <c r="D74" s="40">
        <f>(C74*'Biomass Data Assumptions'!C38)/2000</f>
        <v>0</v>
      </c>
      <c r="E74" s="41"/>
      <c r="F74" s="41"/>
      <c r="G74" s="41"/>
      <c r="H74" s="36"/>
      <c r="I74" s="36"/>
      <c r="J74" s="36"/>
      <c r="K74" s="36"/>
      <c r="L74" s="36"/>
      <c r="M74" s="36"/>
      <c r="N74" s="36"/>
      <c r="O74" s="36"/>
      <c r="P74" s="36"/>
      <c r="Q74" s="36"/>
      <c r="R74" s="36"/>
    </row>
    <row r="75" spans="1:19" x14ac:dyDescent="0.25">
      <c r="A75" s="39" t="s">
        <v>520</v>
      </c>
      <c r="B75" s="21">
        <v>0</v>
      </c>
      <c r="C75" s="40">
        <f>'Biomass Data Assumptions'!B39*B75</f>
        <v>0</v>
      </c>
      <c r="D75" s="40">
        <f>(C75*'Biomass Data Assumptions'!C39)/2000</f>
        <v>0</v>
      </c>
      <c r="E75" s="41"/>
      <c r="F75" s="41"/>
      <c r="G75" s="41"/>
      <c r="H75" s="36"/>
      <c r="I75" s="36"/>
      <c r="J75" s="36"/>
      <c r="K75" s="36"/>
      <c r="L75" s="36"/>
      <c r="M75" s="36"/>
      <c r="N75" s="36"/>
      <c r="O75" s="36"/>
      <c r="P75" s="36"/>
      <c r="Q75" s="36"/>
      <c r="R75" s="36"/>
    </row>
    <row r="76" spans="1:19" x14ac:dyDescent="0.25">
      <c r="A76" s="39" t="s">
        <v>521</v>
      </c>
      <c r="B76" s="21">
        <v>0</v>
      </c>
      <c r="C76" s="40">
        <f>'Biomass Data Assumptions'!B40*B76</f>
        <v>0</v>
      </c>
      <c r="D76" s="40">
        <f>(C76*'Biomass Data Assumptions'!C40)/2000</f>
        <v>0</v>
      </c>
      <c r="E76" s="41"/>
      <c r="F76" s="41"/>
      <c r="G76" s="41"/>
      <c r="H76" s="36"/>
      <c r="I76" s="36"/>
      <c r="J76" s="36"/>
      <c r="K76" s="36"/>
      <c r="L76" s="36"/>
      <c r="M76" s="36"/>
      <c r="N76" s="36"/>
      <c r="O76" s="36"/>
      <c r="P76" s="36"/>
      <c r="Q76" s="36"/>
      <c r="R76" s="36"/>
    </row>
    <row r="77" spans="1:19" x14ac:dyDescent="0.25">
      <c r="A77" s="39" t="s">
        <v>525</v>
      </c>
      <c r="B77" s="21">
        <v>0</v>
      </c>
      <c r="C77" s="40">
        <f>'Biomass Data Assumptions'!B41*B77</f>
        <v>0</v>
      </c>
      <c r="D77" s="40">
        <f>(C77*'Biomass Data Assumptions'!C41)/2000</f>
        <v>0</v>
      </c>
      <c r="E77" s="41"/>
      <c r="F77" s="41"/>
      <c r="G77" s="41"/>
      <c r="H77" s="36"/>
      <c r="I77" s="36"/>
      <c r="J77" s="36"/>
      <c r="K77" s="36"/>
      <c r="L77" s="36"/>
      <c r="M77" s="36"/>
      <c r="N77" s="36"/>
      <c r="O77" s="36"/>
      <c r="P77" s="36"/>
      <c r="Q77" s="36"/>
      <c r="R77" s="36"/>
    </row>
    <row r="78" spans="1:19" x14ac:dyDescent="0.25">
      <c r="A78" s="39" t="s">
        <v>522</v>
      </c>
      <c r="B78" s="21">
        <v>0</v>
      </c>
      <c r="C78" s="40">
        <f>'Biomass Data Assumptions'!B42*B78</f>
        <v>0</v>
      </c>
      <c r="D78" s="40">
        <f>(C78*'Biomass Data Assumptions'!C42)/2000</f>
        <v>0</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1</v>
      </c>
      <c r="C81" s="40">
        <f>'Biomass Data Assumptions'!B49*B81</f>
        <v>1</v>
      </c>
      <c r="D81" s="40">
        <f>C81*'Energy Content Assumptions'!C11</f>
        <v>0.85</v>
      </c>
      <c r="E81" s="41"/>
      <c r="F81" s="41"/>
      <c r="G81" s="41"/>
      <c r="H81" s="36"/>
      <c r="I81" s="36"/>
      <c r="J81" s="36"/>
      <c r="K81" s="36"/>
      <c r="L81" s="36"/>
      <c r="M81" s="36"/>
      <c r="N81" s="36"/>
      <c r="O81" s="36"/>
      <c r="P81" s="36"/>
      <c r="Q81" s="36"/>
      <c r="R81" s="36"/>
    </row>
    <row r="82" spans="1:18" x14ac:dyDescent="0.25">
      <c r="A82" s="39" t="s">
        <v>520</v>
      </c>
      <c r="B82" s="21">
        <v>2</v>
      </c>
      <c r="C82" s="40">
        <f>'Biomass Data Assumptions'!B50*B82</f>
        <v>4.5</v>
      </c>
      <c r="D82" s="40">
        <f>C82*'Energy Content Assumptions'!C12</f>
        <v>3.8249999999999997</v>
      </c>
      <c r="E82" s="41"/>
      <c r="F82" s="41"/>
      <c r="G82" s="41"/>
      <c r="H82" s="36"/>
      <c r="I82" s="36"/>
      <c r="J82" s="36"/>
      <c r="K82" s="36"/>
      <c r="L82" s="36"/>
      <c r="M82" s="36"/>
      <c r="N82" s="36"/>
      <c r="O82" s="36"/>
      <c r="P82" s="36"/>
      <c r="Q82" s="36"/>
      <c r="R82" s="36"/>
    </row>
    <row r="83" spans="1:18" x14ac:dyDescent="0.25">
      <c r="A83" s="39" t="s">
        <v>521</v>
      </c>
      <c r="B83" s="21">
        <v>0</v>
      </c>
      <c r="C83" s="40">
        <f>'Biomass Data Assumptions'!B51*B83</f>
        <v>0</v>
      </c>
      <c r="D83" s="40">
        <f>C83*'Energy Content Assumptions'!C13</f>
        <v>0</v>
      </c>
      <c r="E83" s="41"/>
      <c r="F83" s="41"/>
      <c r="G83" s="41"/>
      <c r="H83" s="36"/>
      <c r="I83" s="36"/>
      <c r="J83" s="36"/>
      <c r="K83" s="36"/>
      <c r="L83" s="36"/>
      <c r="M83" s="36"/>
      <c r="N83" s="36"/>
      <c r="O83" s="36"/>
      <c r="P83" s="36"/>
      <c r="Q83" s="36"/>
      <c r="R83" s="36"/>
    </row>
    <row r="84" spans="1:18" x14ac:dyDescent="0.25">
      <c r="A84" s="39" t="s">
        <v>528</v>
      </c>
      <c r="B84" s="21">
        <v>0</v>
      </c>
      <c r="C84" s="40">
        <f>'Biomass Data Assumptions'!B52*B84</f>
        <v>0</v>
      </c>
      <c r="D84" s="40">
        <f>C84*'Energy Content Assumptions'!C14</f>
        <v>0</v>
      </c>
      <c r="E84" s="41"/>
      <c r="F84" s="41"/>
      <c r="G84" s="41"/>
      <c r="H84" s="36"/>
      <c r="I84" s="36"/>
      <c r="J84" s="36"/>
      <c r="K84" s="36"/>
      <c r="L84" s="36"/>
      <c r="M84" s="36"/>
      <c r="N84" s="36"/>
      <c r="O84" s="36"/>
      <c r="P84" s="36"/>
      <c r="Q84" s="36"/>
      <c r="R84" s="36"/>
    </row>
    <row r="85" spans="1:18" x14ac:dyDescent="0.25">
      <c r="A85" s="39" t="s">
        <v>529</v>
      </c>
      <c r="B85" s="21">
        <v>0</v>
      </c>
      <c r="C85" s="40">
        <f>'Biomass Data Assumptions'!B53*B85</f>
        <v>0</v>
      </c>
      <c r="D85" s="40">
        <f>C85*'Energy Content Assumptions'!C15</f>
        <v>0</v>
      </c>
      <c r="E85" s="41"/>
      <c r="F85" s="41"/>
      <c r="G85" s="41"/>
      <c r="H85" s="36"/>
      <c r="I85" s="36"/>
      <c r="J85" s="36"/>
      <c r="K85" s="36"/>
      <c r="L85" s="36"/>
      <c r="M85" s="36"/>
      <c r="N85" s="36"/>
      <c r="O85" s="36"/>
      <c r="P85" s="36"/>
      <c r="Q85" s="36"/>
      <c r="R85" s="36"/>
    </row>
    <row r="86" spans="1:18" x14ac:dyDescent="0.25">
      <c r="A86" s="39" t="s">
        <v>530</v>
      </c>
      <c r="B86" s="21">
        <v>0</v>
      </c>
      <c r="C86" s="40">
        <f>'Biomass Data Assumptions'!B54*B86</f>
        <v>0</v>
      </c>
      <c r="D86" s="40">
        <f>C86*'Energy Content Assumptions'!C16</f>
        <v>0</v>
      </c>
      <c r="E86" s="41"/>
      <c r="F86" s="41"/>
      <c r="G86" s="41"/>
      <c r="H86" s="36"/>
      <c r="I86" s="36"/>
      <c r="J86" s="36"/>
      <c r="K86" s="36"/>
      <c r="L86" s="36"/>
      <c r="M86" s="36"/>
      <c r="N86" s="36"/>
      <c r="O86" s="36"/>
      <c r="P86" s="36"/>
      <c r="Q86" s="36"/>
      <c r="R86" s="36"/>
    </row>
    <row r="87" spans="1:18" x14ac:dyDescent="0.25">
      <c r="A87" s="39" t="s">
        <v>522</v>
      </c>
      <c r="B87" s="21">
        <v>0</v>
      </c>
      <c r="C87" s="40">
        <f>'Biomass Data Assumptions'!B55*B87</f>
        <v>0</v>
      </c>
      <c r="D87" s="40">
        <f>C87*'Energy Content Assumptions'!C17</f>
        <v>0</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457"/>
      <c r="I96" s="36"/>
      <c r="J96" s="41"/>
      <c r="K96" s="41"/>
      <c r="L96" s="41"/>
      <c r="M96" s="41"/>
      <c r="N96" s="36"/>
      <c r="O96" s="36"/>
      <c r="P96" s="36"/>
      <c r="Q96" s="36"/>
      <c r="R96" s="36"/>
    </row>
    <row r="97" spans="1:18" x14ac:dyDescent="0.25">
      <c r="A97" s="467" t="s">
        <v>535</v>
      </c>
      <c r="B97" s="85">
        <v>0</v>
      </c>
      <c r="C97" s="41">
        <f>ROUND('Biomass Data Assumptions'!$B$60/1000*B97,0)</f>
        <v>0</v>
      </c>
      <c r="D97" s="41">
        <f>'Biomass Data Assumptions'!$C$60*C97</f>
        <v>0</v>
      </c>
      <c r="E97" s="41">
        <f>('Biomass Data Assumptions'!$D$60*'Energy Content Assumptions'!$C$44*D97)/2000</f>
        <v>0</v>
      </c>
      <c r="F97" s="41">
        <f>('Biomass Data Assumptions'!$E$60*B97*365)/2000</f>
        <v>0</v>
      </c>
      <c r="G97" s="41">
        <f>F97+E97</f>
        <v>0</v>
      </c>
      <c r="H97" s="457"/>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ht="10.5" customHeight="1" x14ac:dyDescent="0.25">
      <c r="A100" s="460" t="s">
        <v>603</v>
      </c>
      <c r="B100" s="85">
        <v>0</v>
      </c>
      <c r="C100" s="41">
        <f>ROUND('Biomass Data Assumptions'!B62/1000*B100,0)</f>
        <v>0</v>
      </c>
      <c r="D100" s="41">
        <f>'Biomass Data Assumptions'!C62*C100</f>
        <v>0</v>
      </c>
      <c r="E100" s="41">
        <f>('Biomass Data Assumptions'!D62*'Energy Content Assumptions'!C46*D100)/2000</f>
        <v>0</v>
      </c>
      <c r="F100" s="41">
        <f>('Biomass Data Assumptions'!E62*B100*365)/2000</f>
        <v>0</v>
      </c>
      <c r="G100" s="41">
        <f>F100+E100</f>
        <v>0</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ht="11.25" customHeight="1" x14ac:dyDescent="0.25">
      <c r="A102" s="460" t="s">
        <v>604</v>
      </c>
      <c r="B102" s="85">
        <v>0</v>
      </c>
      <c r="C102" s="41">
        <f>ROUND('Biomass Data Assumptions'!B64/1000*B102,0)</f>
        <v>0</v>
      </c>
      <c r="D102" s="41">
        <f>'Biomass Data Assumptions'!C64*C102</f>
        <v>0</v>
      </c>
      <c r="E102" s="41">
        <f>('Biomass Data Assumptions'!D64*'Energy Content Assumptions'!C48*D102)/2000</f>
        <v>0</v>
      </c>
      <c r="F102" s="41">
        <f>'Biomass Data Assumptions'!E64*B102*365/2000</f>
        <v>0</v>
      </c>
      <c r="G102" s="41">
        <f>F102+E102</f>
        <v>0</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f t="shared" ref="B104:G104" si="14">SUM(B100:B103)</f>
        <v>0</v>
      </c>
      <c r="C104" s="41">
        <f t="shared" si="14"/>
        <v>0</v>
      </c>
      <c r="D104" s="41">
        <f t="shared" si="14"/>
        <v>0</v>
      </c>
      <c r="E104" s="41">
        <f t="shared" si="14"/>
        <v>0</v>
      </c>
      <c r="F104" s="41">
        <f t="shared" si="14"/>
        <v>0</v>
      </c>
      <c r="G104" s="41">
        <f t="shared" si="14"/>
        <v>0</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2</v>
      </c>
      <c r="C106" s="41">
        <f>ROUND('Biomass Data Assumptions'!B66/1000*B106,0)</f>
        <v>2</v>
      </c>
      <c r="D106" s="41">
        <f>'Biomass Data Assumptions'!C66*C106</f>
        <v>40515</v>
      </c>
      <c r="E106" s="41">
        <f>('Biomass Data Assumptions'!D66*'Energy Content Assumptions'!C50*D106)/2000</f>
        <v>1.4180250000000001</v>
      </c>
      <c r="F106" s="41">
        <f>'Biomass Data Assumptions'!E66*B106*365/2000</f>
        <v>5.4749999999999996</v>
      </c>
      <c r="G106" s="41">
        <f>F106+E106</f>
        <v>6.8930249999999997</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0</v>
      </c>
      <c r="C108" s="41">
        <f>ROUND('Biomass Data Assumptions'!B67/1000*B108,0)</f>
        <v>0</v>
      </c>
      <c r="D108" s="41">
        <f>'Biomass Data Assumptions'!C67*C108</f>
        <v>0</v>
      </c>
      <c r="E108" s="41">
        <f>('Biomass Data Assumptions'!D67*'Energy Content Assumptions'!C51*D108)/2000</f>
        <v>0</v>
      </c>
      <c r="F108" s="41">
        <f>'Biomass Data Assumptions'!E67*B108*365/2000</f>
        <v>0</v>
      </c>
      <c r="G108" s="41">
        <f>F108+E108</f>
        <v>0</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0</v>
      </c>
      <c r="C110" s="41">
        <f>ROUND('Biomass Data Assumptions'!B68/1000*B110,0)</f>
        <v>0</v>
      </c>
      <c r="D110" s="41">
        <f>'Biomass Data Assumptions'!C68*C110</f>
        <v>0</v>
      </c>
      <c r="E110" s="41">
        <f>('Biomass Data Assumptions'!D68*'Energy Content Assumptions'!C52*D110)/2000</f>
        <v>0</v>
      </c>
      <c r="F110" s="41">
        <f>'Biomass Data Assumptions'!E68*B110*365/2000</f>
        <v>0</v>
      </c>
      <c r="G110" s="41">
        <f>F110+E110</f>
        <v>0</v>
      </c>
      <c r="H110" s="36"/>
      <c r="I110" s="36"/>
      <c r="J110" s="41"/>
      <c r="K110" s="41"/>
      <c r="L110" s="41"/>
      <c r="M110" s="41"/>
      <c r="N110" s="36"/>
      <c r="O110" s="36"/>
      <c r="P110" s="36"/>
      <c r="Q110" s="36"/>
      <c r="R110" s="36"/>
    </row>
    <row r="111" spans="1:18" ht="12" customHeight="1"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0</v>
      </c>
      <c r="C115" s="41">
        <f>ROUND('Biomass Data Assumptions'!$B$71/1000*B115,0)</f>
        <v>0</v>
      </c>
      <c r="D115" s="41">
        <f>'Biomass Data Assumptions'!$C$71*C115</f>
        <v>0</v>
      </c>
      <c r="E115" s="41">
        <f>('Biomass Data Assumptions'!$D$71*'Energy Content Assumptions'!$C$55*D115)/2000</f>
        <v>0</v>
      </c>
      <c r="F115" s="41">
        <f>'Biomass Data Assumptions'!$E$71*B115*365/2000</f>
        <v>0</v>
      </c>
      <c r="G115" s="41">
        <f>F115+E115</f>
        <v>0</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v>0</v>
      </c>
      <c r="C117" s="41">
        <f>ROUND('Biomass Data Assumptions'!B72/1000*B117,0)</f>
        <v>0</v>
      </c>
      <c r="D117" s="41">
        <f>'Biomass Data Assumptions'!C72*C117</f>
        <v>0</v>
      </c>
      <c r="E117" s="41">
        <f>('Biomass Data Assumptions'!D72*'Energy Content Assumptions'!C56*D117)/2000</f>
        <v>0</v>
      </c>
      <c r="F117" s="41">
        <f>'Biomass Data Assumptions'!E72*B117*365/2000</f>
        <v>0</v>
      </c>
      <c r="G117" s="41">
        <f>F117+E117</f>
        <v>0</v>
      </c>
      <c r="H117" s="36"/>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0</v>
      </c>
      <c r="C119" s="41">
        <f>ROUND('Biomass Data Assumptions'!B73/1000*B119,0)</f>
        <v>0</v>
      </c>
      <c r="D119" s="41">
        <f>'Biomass Data Assumptions'!C73*C119</f>
        <v>0</v>
      </c>
      <c r="E119" s="41">
        <f>('Biomass Data Assumptions'!D73*'Energy Content Assumptions'!C57*D119)/2000</f>
        <v>0</v>
      </c>
      <c r="F119" s="41">
        <f>'Biomass Data Assumptions'!E73*B119*365/2000</f>
        <v>0</v>
      </c>
      <c r="G119" s="41">
        <f>F119+E119</f>
        <v>0</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5">B97+B104+B106+B108+B110+B115+B117+B119</f>
        <v>2</v>
      </c>
      <c r="C121" s="48">
        <f t="shared" si="15"/>
        <v>2</v>
      </c>
      <c r="D121" s="48">
        <f t="shared" si="15"/>
        <v>40515</v>
      </c>
      <c r="E121" s="48">
        <f t="shared" si="15"/>
        <v>1.4180250000000001</v>
      </c>
      <c r="F121" s="48">
        <f t="shared" si="15"/>
        <v>5.4749999999999996</v>
      </c>
      <c r="G121" s="48">
        <f t="shared" si="15"/>
        <v>6.8930249999999997</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23389.119999999999</v>
      </c>
      <c r="C124" s="543">
        <f>B124*'Energy Content Assumptions'!C33</f>
        <v>21050.207999999999</v>
      </c>
      <c r="D124" s="36"/>
      <c r="E124" s="36"/>
      <c r="F124" s="36"/>
      <c r="G124" s="36"/>
      <c r="H124" s="36"/>
      <c r="I124" s="36"/>
      <c r="J124" s="36"/>
      <c r="K124" s="36"/>
      <c r="L124" s="36"/>
      <c r="M124" s="36"/>
      <c r="N124" s="36"/>
      <c r="O124" s="36"/>
      <c r="P124" s="36"/>
      <c r="Q124" s="36"/>
      <c r="R124" s="36"/>
    </row>
    <row r="125" spans="1:18" x14ac:dyDescent="0.25">
      <c r="A125" s="50" t="s">
        <v>556</v>
      </c>
      <c r="B125" s="87">
        <v>5582.85</v>
      </c>
      <c r="C125" s="543">
        <f>B125*'Energy Content Assumptions'!C34</f>
        <v>5024.5650000000005</v>
      </c>
      <c r="D125" s="36"/>
      <c r="E125" s="36"/>
      <c r="F125" s="36"/>
      <c r="G125" s="36"/>
      <c r="H125" s="36"/>
      <c r="I125" s="36"/>
      <c r="J125" s="36"/>
      <c r="K125" s="36"/>
      <c r="L125" s="36"/>
      <c r="M125" s="36"/>
      <c r="N125" s="36"/>
      <c r="O125" s="36"/>
      <c r="P125" s="36"/>
      <c r="Q125" s="36"/>
      <c r="R125" s="36"/>
    </row>
    <row r="126" spans="1:18" x14ac:dyDescent="0.25">
      <c r="A126" s="50" t="s">
        <v>557</v>
      </c>
      <c r="B126" s="87">
        <v>12218.14</v>
      </c>
      <c r="C126" s="543">
        <f>B126*'Energy Content Assumptions'!C35</f>
        <v>10996.325999999999</v>
      </c>
      <c r="D126" s="36"/>
      <c r="E126" s="36"/>
      <c r="F126" s="36"/>
      <c r="G126" s="36"/>
      <c r="H126" s="36"/>
      <c r="I126" s="36"/>
      <c r="J126" s="36"/>
      <c r="K126" s="36"/>
      <c r="L126" s="36"/>
      <c r="M126" s="36"/>
      <c r="N126" s="36"/>
      <c r="O126" s="36"/>
      <c r="P126" s="36"/>
      <c r="Q126" s="36"/>
      <c r="R126" s="36"/>
    </row>
    <row r="127" spans="1:18" x14ac:dyDescent="0.25">
      <c r="A127" s="50" t="s">
        <v>558</v>
      </c>
      <c r="B127" s="87">
        <v>3122.39</v>
      </c>
      <c r="C127" s="543">
        <f>B127*'Energy Content Assumptions'!C36</f>
        <v>2810.1509999999998</v>
      </c>
      <c r="D127" s="36"/>
      <c r="E127" s="36"/>
      <c r="F127" s="36"/>
      <c r="G127" s="36"/>
      <c r="H127" s="36"/>
      <c r="I127" s="36"/>
      <c r="J127" s="36"/>
      <c r="K127" s="36"/>
      <c r="L127" s="36"/>
      <c r="M127" s="36"/>
      <c r="N127" s="36"/>
      <c r="O127" s="36"/>
      <c r="P127" s="36"/>
      <c r="Q127" s="36"/>
      <c r="R127" s="36"/>
    </row>
    <row r="128" spans="1:18" x14ac:dyDescent="0.25">
      <c r="A128" s="50" t="s">
        <v>559</v>
      </c>
      <c r="B128" s="87">
        <v>22341.08</v>
      </c>
      <c r="C128" s="543">
        <f>B128*'Energy Content Assumptions'!C21</f>
        <v>11170.54</v>
      </c>
      <c r="D128" s="36"/>
      <c r="E128" s="36"/>
      <c r="F128" s="36"/>
      <c r="G128" s="36"/>
      <c r="H128" s="36"/>
      <c r="I128" s="36"/>
      <c r="J128" s="36"/>
      <c r="K128" s="36"/>
      <c r="L128" s="36"/>
      <c r="M128" s="36"/>
      <c r="N128" s="36"/>
      <c r="O128" s="36"/>
      <c r="P128" s="36"/>
      <c r="Q128" s="36"/>
      <c r="R128" s="36"/>
    </row>
    <row r="129" spans="1:18" x14ac:dyDescent="0.25">
      <c r="A129" s="50" t="s">
        <v>560</v>
      </c>
      <c r="B129" s="87">
        <v>11591.32</v>
      </c>
      <c r="C129" s="543">
        <f>B129*'Energy Content Assumptions'!C22</f>
        <v>3863.7733333333331</v>
      </c>
      <c r="D129" s="36"/>
      <c r="E129" s="36"/>
      <c r="F129" s="36"/>
      <c r="G129" s="36"/>
      <c r="H129" s="36"/>
      <c r="I129" s="36"/>
      <c r="J129" s="36"/>
      <c r="K129" s="36"/>
      <c r="L129" s="36"/>
      <c r="M129" s="36"/>
      <c r="N129" s="36"/>
      <c r="O129" s="36"/>
      <c r="P129" s="36"/>
      <c r="Q129" s="36"/>
      <c r="R129" s="36"/>
    </row>
    <row r="130" spans="1:18" x14ac:dyDescent="0.25">
      <c r="A130" s="50" t="s">
        <v>561</v>
      </c>
      <c r="B130" s="87">
        <v>42595.040000000001</v>
      </c>
      <c r="C130" s="543">
        <f>B130*'Energy Content Assumptions'!C23</f>
        <v>14198.346666666666</v>
      </c>
      <c r="D130" s="36"/>
      <c r="E130" s="36"/>
      <c r="F130" s="36"/>
      <c r="G130" s="36"/>
      <c r="H130" s="36"/>
      <c r="I130" s="36"/>
      <c r="J130" s="36"/>
      <c r="K130" s="36"/>
      <c r="L130" s="36"/>
      <c r="M130" s="36"/>
      <c r="N130" s="36"/>
      <c r="O130" s="36"/>
      <c r="P130" s="36"/>
      <c r="Q130" s="36"/>
      <c r="R130" s="36"/>
    </row>
    <row r="131" spans="1:18" x14ac:dyDescent="0.25">
      <c r="A131" s="50" t="s">
        <v>562</v>
      </c>
      <c r="B131" s="87">
        <v>388.54</v>
      </c>
      <c r="C131" s="543">
        <f>B131*'Energy Content Assumptions'!C24</f>
        <v>194.27</v>
      </c>
      <c r="D131" s="36"/>
      <c r="E131" s="36"/>
      <c r="F131" s="36"/>
      <c r="G131" s="36"/>
      <c r="H131" s="36"/>
      <c r="I131" s="36"/>
      <c r="J131" s="36"/>
      <c r="K131" s="36"/>
      <c r="L131" s="36"/>
      <c r="M131" s="36"/>
      <c r="N131" s="36"/>
      <c r="O131" s="36"/>
      <c r="P131" s="36"/>
      <c r="Q131" s="36"/>
      <c r="R131" s="36"/>
    </row>
    <row r="132" spans="1:18" x14ac:dyDescent="0.25">
      <c r="A132" s="50" t="s">
        <v>563</v>
      </c>
      <c r="B132" s="87">
        <v>4957.16</v>
      </c>
      <c r="C132" s="543">
        <f>B132*'Energy Content Assumptions'!C31</f>
        <v>1239.29</v>
      </c>
      <c r="D132" s="36"/>
      <c r="E132" s="36"/>
      <c r="F132" s="36"/>
      <c r="G132" s="36"/>
      <c r="H132" s="36"/>
      <c r="I132" s="36"/>
      <c r="J132" s="36"/>
      <c r="K132" s="36"/>
      <c r="L132" s="36"/>
      <c r="M132" s="36"/>
      <c r="N132" s="36"/>
      <c r="O132" s="36"/>
      <c r="P132" s="36"/>
      <c r="Q132" s="36"/>
      <c r="R132" s="36"/>
    </row>
    <row r="133" spans="1:18" x14ac:dyDescent="0.25">
      <c r="A133" s="50" t="s">
        <v>564</v>
      </c>
      <c r="B133" s="87">
        <v>6590.9</v>
      </c>
      <c r="C133" s="543">
        <f>B133*'Energy Content Assumptions'!C19</f>
        <v>5931.8099999999995</v>
      </c>
      <c r="D133" s="36"/>
      <c r="E133" s="36"/>
      <c r="F133" s="36"/>
      <c r="G133" s="36"/>
      <c r="H133" s="36"/>
      <c r="I133" s="36"/>
      <c r="J133" s="36"/>
      <c r="K133" s="36"/>
      <c r="L133" s="36"/>
      <c r="M133" s="36"/>
      <c r="N133" s="36"/>
      <c r="O133" s="36"/>
      <c r="P133" s="36"/>
      <c r="Q133" s="36"/>
      <c r="R133" s="36"/>
    </row>
    <row r="134" spans="1:18" x14ac:dyDescent="0.25">
      <c r="A134" s="50" t="s">
        <v>565</v>
      </c>
      <c r="B134" s="87">
        <v>3098.96</v>
      </c>
      <c r="C134" s="543">
        <f>B134*'Energy Content Assumptions'!C32</f>
        <v>2479.1680000000001</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Assumptions'!$M$26</f>
        <v>512500.13</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Assumptions'!$F$26</f>
        <v>348418.05</v>
      </c>
      <c r="C138" s="543">
        <f>B138*'Energy Content Assumptions'!$C$28</f>
        <v>174209.02499999999</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Assumptions'!$H$26</f>
        <v>319855</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Assumptions'!$I$26</f>
        <v>28563.049999999988</v>
      </c>
      <c r="C140" s="543">
        <f>B140*'Energy Content Assumptions'!$C$28</f>
        <v>14281.524999999994</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Assumptions'!J26,'Biomass Data Assumptions'!F26*'Biomass Data Assumptions'!I41)</f>
        <v>4518.674509999998</v>
      </c>
      <c r="C141" s="543">
        <f>B141*'Energy Content Assumptions'!C26</f>
        <v>1355.6023529999993</v>
      </c>
      <c r="D141" s="36"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Assumptions'!K26,'Biomass Data Assumptions'!F26*'Biomass Data Assumptions'!I42)</f>
        <v>5555.5132249999979</v>
      </c>
      <c r="C142" s="543">
        <f>B142*'Energy Content Assumptions'!C27</f>
        <v>4999.9619024999984</v>
      </c>
      <c r="D142" s="36"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Assumptions'!L26,'Biomass Data Assumptions'!F26*'Biomass Data Assumptions'!I43)</f>
        <v>7692.0293649999967</v>
      </c>
      <c r="C143" s="543">
        <f>B143*'Energy Content Assumptions'!$C$28</f>
        <v>3846.0146824999983</v>
      </c>
      <c r="D143" s="546" t="s">
        <v>1064</v>
      </c>
      <c r="E143" s="36"/>
      <c r="F143" s="36"/>
      <c r="G143" s="36"/>
      <c r="H143" s="36"/>
      <c r="I143" s="36"/>
      <c r="J143" s="36"/>
      <c r="K143" s="36"/>
      <c r="L143" s="36"/>
      <c r="M143" s="36"/>
      <c r="N143" s="36"/>
      <c r="O143" s="36"/>
      <c r="P143" s="36"/>
      <c r="Q143" s="36"/>
      <c r="R143" s="36"/>
    </row>
    <row r="144" spans="1:18" x14ac:dyDescent="0.25">
      <c r="A144" s="50" t="s">
        <v>463</v>
      </c>
      <c r="B144" s="87">
        <v>71680.399999999994</v>
      </c>
      <c r="C144" s="543">
        <f>B144*'Energy Content Assumptions'!C29</f>
        <v>57344.32</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22937.728000000003</v>
      </c>
      <c r="D145" s="36" t="s">
        <v>1202</v>
      </c>
      <c r="E145" s="36"/>
      <c r="F145" s="36"/>
      <c r="G145" s="36"/>
      <c r="H145" s="36"/>
      <c r="I145" s="36"/>
      <c r="J145" s="36"/>
      <c r="K145" s="36"/>
      <c r="L145" s="36"/>
      <c r="M145" s="36"/>
      <c r="N145" s="36"/>
      <c r="O145" s="36"/>
      <c r="P145" s="36"/>
      <c r="Q145" s="36"/>
      <c r="R145" s="36"/>
    </row>
    <row r="146" spans="1:18" x14ac:dyDescent="0.25">
      <c r="A146" s="712"/>
      <c r="B146" s="713"/>
      <c r="C146" s="714"/>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Assumptions'!R26/2000</f>
        <v>2360.5956000000001</v>
      </c>
      <c r="C148" s="1239">
        <f>B148*'Energy Content Assumptions'!C39</f>
        <v>2006.5062600000001</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Assumptions'!S26/2000</f>
        <v>3586.4958149999998</v>
      </c>
      <c r="C149" s="1239">
        <f>B149*'Energy Content Assumptions'!C40</f>
        <v>179.32479075000001</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S199"/>
  <sheetViews>
    <sheetView topLeftCell="A100" zoomScale="70" zoomScaleNormal="70" workbookViewId="0">
      <selection activeCell="C147" sqref="C147"/>
    </sheetView>
  </sheetViews>
  <sheetFormatPr defaultColWidth="9.109375" defaultRowHeight="13.2" x14ac:dyDescent="0.25"/>
  <cols>
    <col min="1" max="1" width="28.6640625" style="5" customWidth="1"/>
    <col min="2" max="2" width="42.6640625" style="5" customWidth="1"/>
    <col min="3" max="3" width="23.6640625" style="5" customWidth="1"/>
    <col min="4" max="4" width="18.6640625" style="5" customWidth="1"/>
    <col min="5" max="16" width="14.6640625" style="5" customWidth="1"/>
    <col min="17" max="17" width="45.6640625" style="5" customWidth="1"/>
    <col min="18" max="18" width="34.44140625" style="5" customWidth="1"/>
    <col min="19" max="19" width="19.33203125" style="5" customWidth="1"/>
    <col min="20" max="20" width="14" style="5" customWidth="1"/>
    <col min="21" max="16384" width="9.109375" style="5"/>
  </cols>
  <sheetData>
    <row r="1" spans="1:17" s="411" customFormat="1" ht="15.6" x14ac:dyDescent="0.3">
      <c r="A1" s="407" t="s">
        <v>571</v>
      </c>
      <c r="E1" s="412" t="s">
        <v>433</v>
      </c>
      <c r="I1" s="1195" t="str">
        <f>'Bioenergy Calculator'!B3</f>
        <v>None</v>
      </c>
      <c r="J1" s="1195"/>
      <c r="K1" s="1195"/>
      <c r="L1" s="1196"/>
      <c r="M1" s="1195" t="str">
        <f>'Bioenergy Calculator'!B4</f>
        <v>None</v>
      </c>
      <c r="N1" s="1195"/>
      <c r="O1" s="1195"/>
      <c r="P1" s="1196"/>
    </row>
    <row r="3" spans="1:17" s="6" customFormat="1" ht="24.75" customHeight="1" x14ac:dyDescent="0.25">
      <c r="A3" s="1062" t="s">
        <v>567</v>
      </c>
      <c r="B3" s="1062" t="s">
        <v>506</v>
      </c>
      <c r="C3" s="1062" t="s">
        <v>1035</v>
      </c>
      <c r="D3" s="1062" t="s">
        <v>1051</v>
      </c>
      <c r="E3" s="1083" t="s">
        <v>523</v>
      </c>
      <c r="F3" s="1209"/>
      <c r="G3" s="1209"/>
      <c r="H3" s="1198"/>
      <c r="I3" s="1072" t="s">
        <v>275</v>
      </c>
      <c r="J3" s="1073"/>
      <c r="K3" s="1074"/>
      <c r="L3" s="1075"/>
      <c r="M3" s="1083" t="s">
        <v>274</v>
      </c>
      <c r="N3" s="1084"/>
      <c r="O3" s="1197"/>
      <c r="P3" s="1198"/>
      <c r="Q3" s="1060" t="s">
        <v>570</v>
      </c>
    </row>
    <row r="4" spans="1:17" s="6" customFormat="1" x14ac:dyDescent="0.25">
      <c r="A4" s="1063"/>
      <c r="B4" s="1063"/>
      <c r="C4" s="1063"/>
      <c r="D4" s="1071"/>
      <c r="E4" s="22">
        <v>2012</v>
      </c>
      <c r="F4" s="22">
        <v>2015</v>
      </c>
      <c r="G4" s="22">
        <v>2020</v>
      </c>
      <c r="H4" s="22">
        <v>2025</v>
      </c>
      <c r="I4" s="22">
        <v>2012</v>
      </c>
      <c r="J4" s="22">
        <v>2015</v>
      </c>
      <c r="K4" s="22">
        <v>2020</v>
      </c>
      <c r="L4" s="22">
        <v>2025</v>
      </c>
      <c r="M4" s="22">
        <v>2012</v>
      </c>
      <c r="N4" s="22">
        <v>2015</v>
      </c>
      <c r="O4" s="22">
        <v>2020</v>
      </c>
      <c r="P4" s="22">
        <v>2025</v>
      </c>
      <c r="Q4" s="1061"/>
    </row>
    <row r="5" spans="1:17" x14ac:dyDescent="0.25">
      <c r="A5" s="1064" t="s">
        <v>513</v>
      </c>
      <c r="B5" s="1" t="s">
        <v>511</v>
      </c>
      <c r="C5" s="13"/>
      <c r="D5" s="13"/>
      <c r="E5" s="13"/>
      <c r="F5" s="13"/>
      <c r="G5" s="13"/>
      <c r="H5" s="13"/>
      <c r="I5" s="7"/>
      <c r="J5" s="7"/>
      <c r="K5" s="7"/>
      <c r="L5" s="7"/>
      <c r="M5" s="7"/>
      <c r="N5" s="7"/>
      <c r="O5" s="7"/>
      <c r="P5" s="7"/>
      <c r="Q5" s="7"/>
    </row>
    <row r="6" spans="1:17" x14ac:dyDescent="0.25">
      <c r="A6" s="1064"/>
      <c r="B6" s="11" t="str">
        <f>IF('Prac. Rec. Assumptions'!$B$56='Prac. Rec. Assumptions'!$V$3,A74,IF('Prac. Rec. Assumptions'!B57="No",A74,"Sorghum- Converted to Energy Crop"))</f>
        <v>Sorghum</v>
      </c>
      <c r="C6" s="294">
        <f>IF('Prac. Rec. Assumptions'!$B$56='Prac. Rec. Assumptions'!$V$3,D74,IF('Prac. Rec. Assumptions'!B57="No",D74,0))</f>
        <v>585.08799999999997</v>
      </c>
      <c r="D6" s="294" t="s">
        <v>431</v>
      </c>
      <c r="E6" s="294">
        <f>C6*'Prac. Rec. Assumptions'!B4</f>
        <v>0</v>
      </c>
      <c r="F6" s="294">
        <f>$E6</f>
        <v>0</v>
      </c>
      <c r="G6" s="294">
        <f>$E6</f>
        <v>0</v>
      </c>
      <c r="H6" s="294">
        <f>$E6</f>
        <v>0</v>
      </c>
      <c r="I6" s="16" t="str">
        <f>IF('Conversion Tables'!F7="NA","NA",$D6/'Conversion Tables'!F7)</f>
        <v>NA</v>
      </c>
      <c r="J6" s="16" t="str">
        <f>IF('Conversion Tables'!G7="NA","NA",$D6/'Conversion Tables'!G7)</f>
        <v>NA</v>
      </c>
      <c r="K6" s="16" t="str">
        <f>IF('Conversion Tables'!H7="NA","NA",$D6/'Conversion Tables'!H7)</f>
        <v>NA</v>
      </c>
      <c r="L6" s="16" t="str">
        <f>IF('Conversion Tables'!H7="NA","NA",$D6/'Conversion Tables'!H7)</f>
        <v>NA</v>
      </c>
      <c r="M6" s="16" t="str">
        <f>IF('Conversion Tables'!K7="NA","NA",$C74*'Conversion Tables'!K7)</f>
        <v>NA</v>
      </c>
      <c r="N6" s="16" t="str">
        <f>IF('Conversion Tables'!L7="NA","NA",$C74*'Conversion Tables'!L7)</f>
        <v>NA</v>
      </c>
      <c r="O6" s="16" t="str">
        <f>IF('Conversion Tables'!M7="NA","NA",$C74*'Conversion Tables'!M7)</f>
        <v>NA</v>
      </c>
      <c r="P6" s="16" t="str">
        <f>IF('Conversion Tables'!N7="NA","NA",$C74*'Conversion Tables'!N7)</f>
        <v>NA</v>
      </c>
      <c r="Q6" s="15"/>
    </row>
    <row r="7" spans="1:17" x14ac:dyDescent="0.25">
      <c r="A7" s="1064"/>
      <c r="B7" s="11" t="str">
        <f>IF('Prac. Rec. Assumptions'!$B$56='Prac. Rec. Assumptions'!$V$3,A75,IF('Prac. Rec. Assumptions'!B59="No",A75,"Rye- Converted to Energy Crop"))</f>
        <v>Rye</v>
      </c>
      <c r="C7" s="294">
        <f>IF('Prac. Rec. Assumptions'!$B$56='Prac. Rec. Assumptions'!$V$3,D75,IF('Prac. Rec. Assumptions'!B59="No",D75,0))</f>
        <v>100.13640000000001</v>
      </c>
      <c r="D7" s="294" t="s">
        <v>431</v>
      </c>
      <c r="E7" s="294">
        <f>C7*'Prac. Rec. Assumptions'!B5</f>
        <v>0</v>
      </c>
      <c r="F7" s="294">
        <f t="shared" ref="F7:H10" si="0">$E7</f>
        <v>0</v>
      </c>
      <c r="G7" s="294">
        <f t="shared" si="0"/>
        <v>0</v>
      </c>
      <c r="H7" s="294">
        <f t="shared" si="0"/>
        <v>0</v>
      </c>
      <c r="I7" s="16" t="str">
        <f>IF('Conversion Tables'!F8="NA","NA",$D7/'Conversion Tables'!F8)</f>
        <v>NA</v>
      </c>
      <c r="J7" s="16" t="str">
        <f>IF('Conversion Tables'!G8="NA","NA",$D7/'Conversion Tables'!G8)</f>
        <v>NA</v>
      </c>
      <c r="K7" s="16" t="str">
        <f>IF('Conversion Tables'!H8="NA","NA",$D7/'Conversion Tables'!H8)</f>
        <v>NA</v>
      </c>
      <c r="L7" s="16" t="str">
        <f>IF('Conversion Tables'!H8="NA","NA",$D7/'Conversion Tables'!H8)</f>
        <v>NA</v>
      </c>
      <c r="M7" s="16" t="str">
        <f>IF('Conversion Tables'!K8="NA","NA",$C75*'Conversion Tables'!K8)</f>
        <v>NA</v>
      </c>
      <c r="N7" s="16" t="str">
        <f>IF('Conversion Tables'!L8="NA","NA",$C75*'Conversion Tables'!L8)</f>
        <v>NA</v>
      </c>
      <c r="O7" s="16" t="str">
        <f>IF('Conversion Tables'!M8="NA","NA",$C75*'Conversion Tables'!M8)</f>
        <v>NA</v>
      </c>
      <c r="P7" s="16" t="str">
        <f>IF('Conversion Tables'!N8="NA","NA",$C75*'Conversion Tables'!N8)</f>
        <v>NA</v>
      </c>
      <c r="Q7" s="15"/>
    </row>
    <row r="8" spans="1:17" x14ac:dyDescent="0.25">
      <c r="A8" s="1064"/>
      <c r="B8" s="11" t="str">
        <f>IF('Prac. Rec. Assumptions'!$B$56='Prac. Rec. Assumptions'!$V$3,A76,IF('Prac. Rec. Assumptions'!B60="No",A76,"Corn for Grain- Converted to Energy Crop"))</f>
        <v>Corn for Grain</v>
      </c>
      <c r="C8" s="294">
        <f>IF('Prac. Rec. Assumptions'!$B$56='Prac. Rec. Assumptions'!$V$3,D76,IF('Prac. Rec. Assumptions'!B60="No",D76,0))</f>
        <v>48888</v>
      </c>
      <c r="D8" s="294" t="s">
        <v>431</v>
      </c>
      <c r="E8" s="294">
        <f>C8*'Prac. Rec. Assumptions'!B6</f>
        <v>0</v>
      </c>
      <c r="F8" s="294">
        <f t="shared" si="0"/>
        <v>0</v>
      </c>
      <c r="G8" s="294">
        <f t="shared" si="0"/>
        <v>0</v>
      </c>
      <c r="H8" s="294">
        <f t="shared" si="0"/>
        <v>0</v>
      </c>
      <c r="I8" s="16" t="str">
        <f>IF('Conversion Tables'!F9="NA","NA",$D8/'Conversion Tables'!F9)</f>
        <v>NA</v>
      </c>
      <c r="J8" s="16" t="str">
        <f>IF('Conversion Tables'!G9="NA","NA",$D8/'Conversion Tables'!G9)</f>
        <v>NA</v>
      </c>
      <c r="K8" s="16" t="str">
        <f>IF('Conversion Tables'!H9="NA","NA",$D8/'Conversion Tables'!H9)</f>
        <v>NA</v>
      </c>
      <c r="L8" s="16" t="str">
        <f>IF('Conversion Tables'!H9="NA","NA",$D8/'Conversion Tables'!H9)</f>
        <v>NA</v>
      </c>
      <c r="M8" s="16" t="str">
        <f>IF('Conversion Tables'!K9="NA","NA",$C76*'Conversion Tables'!K9)</f>
        <v>NA</v>
      </c>
      <c r="N8" s="16" t="str">
        <f>IF('Conversion Tables'!L9="NA","NA",$C76*'Conversion Tables'!L9)</f>
        <v>NA</v>
      </c>
      <c r="O8" s="16" t="str">
        <f>IF('Conversion Tables'!M9="NA","NA",$C76*'Conversion Tables'!M9)</f>
        <v>NA</v>
      </c>
      <c r="P8" s="16" t="str">
        <f>IF('Conversion Tables'!N9="NA","NA",$C76*'Conversion Tables'!N9)</f>
        <v>NA</v>
      </c>
      <c r="Q8" s="15"/>
    </row>
    <row r="9" spans="1:17" x14ac:dyDescent="0.25">
      <c r="A9" s="1064"/>
      <c r="B9" s="11" t="str">
        <f>IF('Prac. Rec. Assumptions'!$B$56='Prac. Rec. Assumptions'!$V$3,A78,IF('Prac. Rec. Assumptions'!B64="No",A78,"Wheat- Converted to Energy Crop"))</f>
        <v>Wheat</v>
      </c>
      <c r="C9" s="294">
        <f>IF('Prac. Rec. Assumptions'!$B$56='Prac. Rec. Assumptions'!$V$3,D78,IF('Prac. Rec. Assumptions'!B64="No",D78,0))</f>
        <v>1806.3</v>
      </c>
      <c r="D9" s="294" t="s">
        <v>431</v>
      </c>
      <c r="E9" s="294">
        <f>C9*'Prac. Rec. Assumptions'!B7</f>
        <v>0</v>
      </c>
      <c r="F9" s="294">
        <f t="shared" si="0"/>
        <v>0</v>
      </c>
      <c r="G9" s="294">
        <f t="shared" si="0"/>
        <v>0</v>
      </c>
      <c r="H9" s="294">
        <f t="shared" si="0"/>
        <v>0</v>
      </c>
      <c r="I9" s="16" t="str">
        <f>IF('Conversion Tables'!F10="NA","NA",$D9/'Conversion Tables'!F10)</f>
        <v>NA</v>
      </c>
      <c r="J9" s="16" t="str">
        <f>IF('Conversion Tables'!G10="NA","NA",$D9/'Conversion Tables'!G10)</f>
        <v>NA</v>
      </c>
      <c r="K9" s="16" t="str">
        <f>IF('Conversion Tables'!H10="NA","NA",$D9/'Conversion Tables'!H10)</f>
        <v>NA</v>
      </c>
      <c r="L9" s="16" t="str">
        <f>IF('Conversion Tables'!H10="NA","NA",$D9/'Conversion Tables'!H10)</f>
        <v>NA</v>
      </c>
      <c r="M9" s="16" t="str">
        <f>IF('Conversion Tables'!K10="NA","NA",$C78*'Conversion Tables'!K10)</f>
        <v>NA</v>
      </c>
      <c r="N9" s="16" t="str">
        <f>IF('Conversion Tables'!L10="NA","NA",$C78*'Conversion Tables'!L10)</f>
        <v>NA</v>
      </c>
      <c r="O9" s="16" t="str">
        <f>IF('Conversion Tables'!M10="NA","NA",$C78*'Conversion Tables'!M10)</f>
        <v>NA</v>
      </c>
      <c r="P9" s="16" t="str">
        <f>IF('Conversion Tables'!N10="NA","NA",$C78*'Conversion Tables'!N10)</f>
        <v>NA</v>
      </c>
      <c r="Q9" s="15"/>
    </row>
    <row r="10" spans="1:17" x14ac:dyDescent="0.25">
      <c r="A10" s="1064"/>
      <c r="B10" s="129" t="s">
        <v>301</v>
      </c>
      <c r="C10" s="294"/>
      <c r="D10" s="294" t="s">
        <v>431</v>
      </c>
      <c r="E10" s="294">
        <f>C10*'Prac. Rec. Assumptions'!B8</f>
        <v>0</v>
      </c>
      <c r="F10" s="294">
        <f t="shared" si="0"/>
        <v>0</v>
      </c>
      <c r="G10" s="294">
        <f t="shared" si="0"/>
        <v>0</v>
      </c>
      <c r="H10" s="294">
        <f t="shared" si="0"/>
        <v>0</v>
      </c>
      <c r="I10" s="16" t="str">
        <f>IF('Conversion Tables'!F11="NA","NA",$D10/'Conversion Tables'!F11)</f>
        <v>NA</v>
      </c>
      <c r="J10" s="16" t="str">
        <f>IF('Conversion Tables'!G11="NA","NA",$D10/'Conversion Tables'!G11)</f>
        <v>NA</v>
      </c>
      <c r="K10" s="16" t="str">
        <f>IF('Conversion Tables'!H11="NA","NA",$D10/'Conversion Tables'!H11)</f>
        <v>NA</v>
      </c>
      <c r="L10" s="16" t="str">
        <f>IF('Conversion Tables'!H11="NA","NA",$D10/'Conversion Tables'!H11)</f>
        <v>NA</v>
      </c>
      <c r="M10" s="16" t="str">
        <f>IF('Conversion Tables'!K11="NA","NA",E10*'Conversion Tables'!K11)</f>
        <v>NA</v>
      </c>
      <c r="N10" s="16" t="str">
        <f>IF('Conversion Tables'!L11="NA","NA",F10*'Conversion Tables'!L11)</f>
        <v>NA</v>
      </c>
      <c r="O10" s="16" t="str">
        <f>IF('Conversion Tables'!M11="NA","NA",G10*'Conversion Tables'!M11)</f>
        <v>NA</v>
      </c>
      <c r="P10" s="16" t="str">
        <f>IF('Conversion Tables'!N11="NA","NA",H10*'Conversion Tables'!N11)</f>
        <v>NA</v>
      </c>
      <c r="Q10" s="7"/>
    </row>
    <row r="11" spans="1:17" x14ac:dyDescent="0.25">
      <c r="A11" s="1065"/>
      <c r="B11" s="9" t="s">
        <v>524</v>
      </c>
      <c r="C11" s="295">
        <f>SUM(C6:C10)</f>
        <v>51379.524400000002</v>
      </c>
      <c r="D11" s="295">
        <f t="shared" ref="D11:P11" si="1">SUM(D5:D10)</f>
        <v>0</v>
      </c>
      <c r="E11" s="295">
        <f t="shared" si="1"/>
        <v>0</v>
      </c>
      <c r="F11" s="295">
        <f t="shared" si="1"/>
        <v>0</v>
      </c>
      <c r="G11" s="295">
        <f t="shared" si="1"/>
        <v>0</v>
      </c>
      <c r="H11" s="295">
        <f t="shared" si="1"/>
        <v>0</v>
      </c>
      <c r="I11" s="19">
        <f t="shared" si="1"/>
        <v>0</v>
      </c>
      <c r="J11" s="19">
        <f t="shared" si="1"/>
        <v>0</v>
      </c>
      <c r="K11" s="19">
        <f t="shared" si="1"/>
        <v>0</v>
      </c>
      <c r="L11" s="19">
        <f t="shared" si="1"/>
        <v>0</v>
      </c>
      <c r="M11" s="19">
        <f t="shared" si="1"/>
        <v>0</v>
      </c>
      <c r="N11" s="19">
        <f t="shared" si="1"/>
        <v>0</v>
      </c>
      <c r="O11" s="19">
        <f t="shared" si="1"/>
        <v>0</v>
      </c>
      <c r="P11" s="19">
        <f t="shared" si="1"/>
        <v>0</v>
      </c>
      <c r="Q11" s="19"/>
    </row>
    <row r="12" spans="1:17" x14ac:dyDescent="0.25">
      <c r="A12" s="8"/>
      <c r="C12" s="296"/>
      <c r="D12" s="296"/>
      <c r="E12" s="296"/>
      <c r="F12" s="296"/>
      <c r="G12" s="296"/>
      <c r="H12" s="296"/>
      <c r="I12" s="28"/>
      <c r="J12" s="28"/>
      <c r="K12" s="28"/>
      <c r="L12" s="28"/>
      <c r="M12" s="28"/>
      <c r="N12" s="28"/>
      <c r="O12" s="28"/>
      <c r="P12" s="28"/>
    </row>
    <row r="13" spans="1:17" x14ac:dyDescent="0.25">
      <c r="A13" s="1206" t="s">
        <v>514</v>
      </c>
      <c r="B13" s="1" t="s">
        <v>507</v>
      </c>
      <c r="C13" s="294">
        <f>D90</f>
        <v>0</v>
      </c>
      <c r="D13" s="294">
        <f>E13*'Conversion Tables'!C12</f>
        <v>0</v>
      </c>
      <c r="E13" s="294">
        <f>C13*'Prac. Rec. Assumptions'!B9</f>
        <v>0</v>
      </c>
      <c r="F13" s="294">
        <f>$E13</f>
        <v>0</v>
      </c>
      <c r="G13" s="294">
        <f>$E13</f>
        <v>0</v>
      </c>
      <c r="H13" s="294">
        <f>$E13</f>
        <v>0</v>
      </c>
      <c r="I13" s="16" t="str">
        <f>IF('Conversion Tables'!F12="NA","NA",(E13*'Conversion Tables'!$C12)/'Conversion Tables'!F12)</f>
        <v>NA</v>
      </c>
      <c r="J13" s="16" t="str">
        <f>IF('Conversion Tables'!G12="NA","NA",(F13*'Conversion Tables'!$C12)/'Conversion Tables'!G12)</f>
        <v>NA</v>
      </c>
      <c r="K13" s="16" t="str">
        <f>IF('Conversion Tables'!H12="NA","NA",(G13*'Conversion Tables'!$C12)/'Conversion Tables'!H12)</f>
        <v>NA</v>
      </c>
      <c r="L13" s="16" t="str">
        <f>IF('Conversion Tables'!I12="NA","NA",(H13*'Conversion Tables'!$C12)/'Conversion Tables'!I12)</f>
        <v>NA</v>
      </c>
      <c r="M13" s="16" t="str">
        <f>IF('Conversion Tables'!K12="NA","NA",E13*'Conversion Tables'!K12)</f>
        <v>NA</v>
      </c>
      <c r="N13" s="16" t="str">
        <f>IF('Conversion Tables'!L12="NA","NA",F13*'Conversion Tables'!L12)</f>
        <v>NA</v>
      </c>
      <c r="O13" s="16" t="str">
        <f>IF('Conversion Tables'!M12="NA","NA",G13*'Conversion Tables'!M12)</f>
        <v>NA</v>
      </c>
      <c r="P13" s="16" t="str">
        <f>IF('Conversion Tables'!N12="NA","NA",H13*'Conversion Tables'!N12)</f>
        <v>NA</v>
      </c>
      <c r="Q13" s="7"/>
    </row>
    <row r="14" spans="1:17" x14ac:dyDescent="0.25">
      <c r="A14" s="1207"/>
      <c r="B14" s="1" t="s">
        <v>504</v>
      </c>
      <c r="C14" s="294"/>
      <c r="D14" s="294"/>
      <c r="E14" s="294"/>
      <c r="F14" s="294"/>
      <c r="G14" s="294"/>
      <c r="H14" s="294"/>
      <c r="I14" s="16"/>
      <c r="J14" s="16"/>
      <c r="K14" s="16"/>
      <c r="L14" s="16"/>
      <c r="M14" s="16"/>
      <c r="N14" s="16"/>
      <c r="O14" s="16"/>
      <c r="P14" s="16"/>
      <c r="Q14" s="7"/>
    </row>
    <row r="15" spans="1:17" x14ac:dyDescent="0.25">
      <c r="A15" s="1207"/>
      <c r="B15" s="11" t="str">
        <f>IF('Prac. Rec. Assumptions'!$B$56='Prac. Rec. Assumptions'!$V$3,A81,IF('Prac. Rec. Assumptions'!B57="No",A81,"Sweet Corn- Converted to Energy Crop"))</f>
        <v>Sweet Corn</v>
      </c>
      <c r="C15" s="294">
        <f>IF('Prac. Rec. Assumptions'!$B$56='Prac. Rec. Assumptions'!$V$3,D81,IF('Prac. Rec. Assumptions'!B58="No",D81,0))</f>
        <v>283.05</v>
      </c>
      <c r="D15" s="294">
        <f>E15*'Conversion Tables'!C14</f>
        <v>3562.3540800000001</v>
      </c>
      <c r="E15" s="294">
        <f>C15*'Prac. Rec. Assumptions'!B11</f>
        <v>226.44000000000003</v>
      </c>
      <c r="F15" s="294">
        <f>$E15</f>
        <v>226.44000000000003</v>
      </c>
      <c r="G15" s="294">
        <f>$E15</f>
        <v>226.44000000000003</v>
      </c>
      <c r="H15" s="294">
        <f>$E15</f>
        <v>226.44000000000003</v>
      </c>
      <c r="I15" s="16" t="str">
        <f>IF('Conversion Tables'!F14="NA","NA",(E15*'Conversion Tables'!$C14)/'Conversion Tables'!F14)</f>
        <v>NA</v>
      </c>
      <c r="J15" s="16" t="str">
        <f>IF('Conversion Tables'!G14="NA","NA",(F15*'Conversion Tables'!$C14)/'Conversion Tables'!G14)</f>
        <v>NA</v>
      </c>
      <c r="K15" s="16" t="str">
        <f>IF('Conversion Tables'!H14="NA","NA",(G15*'Conversion Tables'!$C14)/'Conversion Tables'!H14)</f>
        <v>NA</v>
      </c>
      <c r="L15" s="16" t="str">
        <f>IF('Conversion Tables'!I14="NA","NA",(H15*'Conversion Tables'!$C14)/'Conversion Tables'!I14)</f>
        <v>NA</v>
      </c>
      <c r="M15" s="16" t="str">
        <f>IF('Conversion Tables'!K14="NA","NA",E15*'Conversion Tables'!K14)</f>
        <v>NA</v>
      </c>
      <c r="N15" s="16" t="str">
        <f>IF('Conversion Tables'!L14="NA","NA",F15*'Conversion Tables'!L14)</f>
        <v>NA</v>
      </c>
      <c r="O15" s="16" t="str">
        <f>IF('Conversion Tables'!M14="NA","NA",G15*'Conversion Tables'!M14)</f>
        <v>NA</v>
      </c>
      <c r="P15" s="16" t="str">
        <f>IF('Conversion Tables'!N14="NA","NA",H15*'Conversion Tables'!N14)</f>
        <v>NA</v>
      </c>
      <c r="Q15" s="15"/>
    </row>
    <row r="16" spans="1:17" x14ac:dyDescent="0.25">
      <c r="A16" s="1207"/>
      <c r="B16" s="11" t="str">
        <f>IF('Prac. Rec. Assumptions'!$B$56='Prac. Rec. Assumptions'!$V$3,A82,IF('Prac. Rec. Assumptions'!B58="No",A82,"Rye- Converted to Energy Crop"))</f>
        <v>Rye</v>
      </c>
      <c r="C16" s="294">
        <f>IF('Prac. Rec. Assumptions'!$B$56='Prac. Rec. Assumptions'!$V$3,D82,IF('Prac. Rec. Assumptions'!B59="No",D82,0))</f>
        <v>554.625</v>
      </c>
      <c r="D16" s="294">
        <f>E16*'Conversion Tables'!C15</f>
        <v>0</v>
      </c>
      <c r="E16" s="294">
        <f>C16*'Prac. Rec. Assumptions'!B12</f>
        <v>0</v>
      </c>
      <c r="F16" s="294">
        <f t="shared" ref="F16:H23" si="2">$E16</f>
        <v>0</v>
      </c>
      <c r="G16" s="294">
        <f t="shared" si="2"/>
        <v>0</v>
      </c>
      <c r="H16" s="294">
        <f t="shared" si="2"/>
        <v>0</v>
      </c>
      <c r="I16" s="16" t="str">
        <f>IF('Conversion Tables'!F15="NA","NA",(E16*'Conversion Tables'!$C15)/'Conversion Tables'!F15)</f>
        <v>NA</v>
      </c>
      <c r="J16" s="16" t="str">
        <f>IF('Conversion Tables'!G15="NA","NA",(F16*'Conversion Tables'!$C15)/'Conversion Tables'!G15)</f>
        <v>NA</v>
      </c>
      <c r="K16" s="16" t="str">
        <f>IF('Conversion Tables'!H15="NA","NA",(G16*'Conversion Tables'!$C15)/'Conversion Tables'!H15)</f>
        <v>NA</v>
      </c>
      <c r="L16" s="16" t="str">
        <f>IF('Conversion Tables'!I15="NA","NA",(H16*'Conversion Tables'!$C15)/'Conversion Tables'!I15)</f>
        <v>NA</v>
      </c>
      <c r="M16" s="16" t="str">
        <f>IF('Conversion Tables'!K15="NA","NA",E16*'Conversion Tables'!K15)</f>
        <v>NA</v>
      </c>
      <c r="N16" s="16" t="str">
        <f>IF('Conversion Tables'!L15="NA","NA",F16*'Conversion Tables'!L15)</f>
        <v>NA</v>
      </c>
      <c r="O16" s="16" t="str">
        <f>IF('Conversion Tables'!M15="NA","NA",G16*'Conversion Tables'!M15)</f>
        <v>NA</v>
      </c>
      <c r="P16" s="16" t="str">
        <f>IF('Conversion Tables'!N15="NA","NA",H16*'Conversion Tables'!N15)</f>
        <v>NA</v>
      </c>
      <c r="Q16" s="15"/>
    </row>
    <row r="17" spans="1:17" x14ac:dyDescent="0.25">
      <c r="A17" s="1207"/>
      <c r="B17" s="11" t="str">
        <f>IF('Prac. Rec. Assumptions'!$B$56='Prac. Rec. Assumptions'!$V$3,A83,IF('Prac. Rec. Assumptions'!B59="No",A83,"Corn for Grain- Converted to Energy Crop"))</f>
        <v>Corn for Grain</v>
      </c>
      <c r="C17" s="294">
        <f>IF('Prac. Rec. Assumptions'!$B$56='Prac. Rec. Assumptions'!$V$3,D83,IF('Prac. Rec. Assumptions'!B60="No",D83,0))</f>
        <v>29682</v>
      </c>
      <c r="D17" s="294">
        <f>E17*'Conversion Tables'!C16</f>
        <v>396913.64039999997</v>
      </c>
      <c r="E17" s="294">
        <f>C17*'Prac. Rec. Assumptions'!B13</f>
        <v>25229.7</v>
      </c>
      <c r="F17" s="294">
        <f t="shared" si="2"/>
        <v>25229.7</v>
      </c>
      <c r="G17" s="294">
        <f t="shared" si="2"/>
        <v>25229.7</v>
      </c>
      <c r="H17" s="294">
        <f t="shared" si="2"/>
        <v>25229.7</v>
      </c>
      <c r="I17" s="16" t="str">
        <f>IF('Conversion Tables'!F16="NA","NA",(E17*'Conversion Tables'!$C16)/'Conversion Tables'!F16)</f>
        <v>NA</v>
      </c>
      <c r="J17" s="16" t="str">
        <f>IF('Conversion Tables'!G16="NA","NA",(F17*'Conversion Tables'!$C16)/'Conversion Tables'!G16)</f>
        <v>NA</v>
      </c>
      <c r="K17" s="16" t="str">
        <f>IF('Conversion Tables'!H16="NA","NA",(G17*'Conversion Tables'!$C16)/'Conversion Tables'!H16)</f>
        <v>NA</v>
      </c>
      <c r="L17" s="16" t="str">
        <f>IF('Conversion Tables'!I16="NA","NA",(H17*'Conversion Tables'!$C16)/'Conversion Tables'!I16)</f>
        <v>NA</v>
      </c>
      <c r="M17" s="16" t="str">
        <f>IF('Conversion Tables'!K16="NA","NA",E17*'Conversion Tables'!K16)</f>
        <v>NA</v>
      </c>
      <c r="N17" s="16" t="str">
        <f>IF('Conversion Tables'!L16="NA","NA",F17*'Conversion Tables'!L16)</f>
        <v>NA</v>
      </c>
      <c r="O17" s="16" t="str">
        <f>IF('Conversion Tables'!M16="NA","NA",G17*'Conversion Tables'!M16)</f>
        <v>NA</v>
      </c>
      <c r="P17" s="16" t="str">
        <f>IF('Conversion Tables'!N16="NA","NA",H17*'Conversion Tables'!N16)</f>
        <v>NA</v>
      </c>
      <c r="Q17" s="15"/>
    </row>
    <row r="18" spans="1:17" x14ac:dyDescent="0.25">
      <c r="A18" s="1207"/>
      <c r="B18" s="11" t="str">
        <f>IF('Prac. Rec. Assumptions'!$B$56='Prac. Rec. Assumptions'!$V$3,A84,IF('Prac. Rec. Assumptions'!B60="No",A84,"Corn for Silage- Converted to Energy Crop"))</f>
        <v>Corn for Silage</v>
      </c>
      <c r="C18" s="294">
        <f>IF('Prac. Rec. Assumptions'!$B$56='Prac. Rec. Assumptions'!$V$3,D84,IF('Prac. Rec. Assumptions'!B61="No",D84,0))</f>
        <v>13018.319999999998</v>
      </c>
      <c r="D18" s="294">
        <f>E18*'Conversion Tables'!C17</f>
        <v>153603.15767999997</v>
      </c>
      <c r="E18" s="294">
        <f>C18*'Prac. Rec. Assumptions'!B14</f>
        <v>9763.739999999998</v>
      </c>
      <c r="F18" s="294">
        <f t="shared" si="2"/>
        <v>9763.739999999998</v>
      </c>
      <c r="G18" s="294">
        <f t="shared" si="2"/>
        <v>9763.739999999998</v>
      </c>
      <c r="H18" s="294">
        <f t="shared" si="2"/>
        <v>9763.739999999998</v>
      </c>
      <c r="I18" s="16" t="str">
        <f>IF('Conversion Tables'!F17="NA","NA",(E18*'Conversion Tables'!$C17)/'Conversion Tables'!F17)</f>
        <v>NA</v>
      </c>
      <c r="J18" s="16" t="str">
        <f>IF('Conversion Tables'!G17="NA","NA",(F18*'Conversion Tables'!$C17)/'Conversion Tables'!G17)</f>
        <v>NA</v>
      </c>
      <c r="K18" s="16" t="str">
        <f>IF('Conversion Tables'!H17="NA","NA",(G18*'Conversion Tables'!$C17)/'Conversion Tables'!H17)</f>
        <v>NA</v>
      </c>
      <c r="L18" s="16" t="str">
        <f>IF('Conversion Tables'!I17="NA","NA",(H18*'Conversion Tables'!$C17)/'Conversion Tables'!I17)</f>
        <v>NA</v>
      </c>
      <c r="M18" s="16" t="str">
        <f>IF('Conversion Tables'!K17="NA","NA",E18*'Conversion Tables'!K17)</f>
        <v>NA</v>
      </c>
      <c r="N18" s="16" t="str">
        <f>IF('Conversion Tables'!L17="NA","NA",F18*'Conversion Tables'!L17)</f>
        <v>NA</v>
      </c>
      <c r="O18" s="16" t="str">
        <f>IF('Conversion Tables'!M17="NA","NA",G18*'Conversion Tables'!M17)</f>
        <v>NA</v>
      </c>
      <c r="P18" s="16" t="str">
        <f>IF('Conversion Tables'!N17="NA","NA",H18*'Conversion Tables'!N17)</f>
        <v>NA</v>
      </c>
      <c r="Q18" s="15"/>
    </row>
    <row r="19" spans="1:17" x14ac:dyDescent="0.25">
      <c r="A19" s="1207"/>
      <c r="B19" s="11" t="str">
        <f>IF('Prac. Rec. Assumptions'!$B$56='Prac. Rec. Assumptions'!$V$3,A85,IF('Prac. Rec. Assumptions'!B61="No",A85,"Alfalfa Hay- Converted to Energy Crop"))</f>
        <v>Alfalfa Hay</v>
      </c>
      <c r="C19" s="294">
        <f>IF('Prac. Rec. Assumptions'!$B$56='Prac. Rec. Assumptions'!$V$3,D85,IF('Prac. Rec. Assumptions'!B62="No",D85,0))</f>
        <v>11230.880000000001</v>
      </c>
      <c r="D19" s="294">
        <f>E19*'Conversion Tables'!C18</f>
        <v>0</v>
      </c>
      <c r="E19" s="294">
        <f>C19*'Prac. Rec. Assumptions'!B15</f>
        <v>0</v>
      </c>
      <c r="F19" s="294">
        <f t="shared" si="2"/>
        <v>0</v>
      </c>
      <c r="G19" s="294">
        <f t="shared" si="2"/>
        <v>0</v>
      </c>
      <c r="H19" s="294">
        <f t="shared" si="2"/>
        <v>0</v>
      </c>
      <c r="I19" s="16" t="str">
        <f>IF('Conversion Tables'!F18="NA","NA",(E19*'Conversion Tables'!$C18)/'Conversion Tables'!F18)</f>
        <v>NA</v>
      </c>
      <c r="J19" s="16" t="str">
        <f>IF('Conversion Tables'!G18="NA","NA",(F19*'Conversion Tables'!$C18)/'Conversion Tables'!G18)</f>
        <v>NA</v>
      </c>
      <c r="K19" s="16" t="str">
        <f>IF('Conversion Tables'!H18="NA","NA",(G19*'Conversion Tables'!$C18)/'Conversion Tables'!H18)</f>
        <v>NA</v>
      </c>
      <c r="L19" s="16" t="str">
        <f>IF('Conversion Tables'!I18="NA","NA",(H19*'Conversion Tables'!$C18)/'Conversion Tables'!I18)</f>
        <v>NA</v>
      </c>
      <c r="M19" s="16" t="str">
        <f>IF('Conversion Tables'!K18="NA","NA",E19*'Conversion Tables'!K18)</f>
        <v>NA</v>
      </c>
      <c r="N19" s="16" t="str">
        <f>IF('Conversion Tables'!L18="NA","NA",F19*'Conversion Tables'!L18)</f>
        <v>NA</v>
      </c>
      <c r="O19" s="16" t="str">
        <f>IF('Conversion Tables'!M18="NA","NA",G19*'Conversion Tables'!M18)</f>
        <v>NA</v>
      </c>
      <c r="P19" s="16" t="str">
        <f>IF('Conversion Tables'!N18="NA","NA",H19*'Conversion Tables'!N18)</f>
        <v>NA</v>
      </c>
      <c r="Q19" s="15"/>
    </row>
    <row r="20" spans="1:17" x14ac:dyDescent="0.25">
      <c r="A20" s="1207"/>
      <c r="B20" s="11" t="str">
        <f>IF('Prac. Rec. Assumptions'!$B$56='Prac. Rec. Assumptions'!$V$3,A86,IF('Prac. Rec. Assumptions'!B62="No",A86,"Other Hay- Converted to Energy Crop"))</f>
        <v>Other Hay</v>
      </c>
      <c r="C20" s="294">
        <f>IF('Prac. Rec. Assumptions'!$B$56='Prac. Rec. Assumptions'!$V$3,D86,IF('Prac. Rec. Assumptions'!B63="No",D86,0))</f>
        <v>17014.875</v>
      </c>
      <c r="D20" s="294">
        <f>E20*'Conversion Tables'!C19</f>
        <v>132716.02499999999</v>
      </c>
      <c r="E20" s="294">
        <f>C20*'Prac. Rec. Assumptions'!B16</f>
        <v>8507.4375</v>
      </c>
      <c r="F20" s="294">
        <f t="shared" si="2"/>
        <v>8507.4375</v>
      </c>
      <c r="G20" s="294">
        <f t="shared" si="2"/>
        <v>8507.4375</v>
      </c>
      <c r="H20" s="294">
        <f t="shared" si="2"/>
        <v>8507.4375</v>
      </c>
      <c r="I20" s="16" t="str">
        <f>IF('Conversion Tables'!F19="NA","NA",(E20*'Conversion Tables'!$C19)/'Conversion Tables'!F19)</f>
        <v>NA</v>
      </c>
      <c r="J20" s="16" t="str">
        <f>IF('Conversion Tables'!G19="NA","NA",(F20*'Conversion Tables'!$C19)/'Conversion Tables'!G19)</f>
        <v>NA</v>
      </c>
      <c r="K20" s="16" t="str">
        <f>IF('Conversion Tables'!H19="NA","NA",(G20*'Conversion Tables'!$C19)/'Conversion Tables'!H19)</f>
        <v>NA</v>
      </c>
      <c r="L20" s="16" t="str">
        <f>IF('Conversion Tables'!I19="NA","NA",(H20*'Conversion Tables'!$C19)/'Conversion Tables'!I19)</f>
        <v>NA</v>
      </c>
      <c r="M20" s="16" t="str">
        <f>IF('Conversion Tables'!K19="NA","NA",E20*'Conversion Tables'!K19)</f>
        <v>NA</v>
      </c>
      <c r="N20" s="16" t="str">
        <f>IF('Conversion Tables'!L19="NA","NA",F20*'Conversion Tables'!L19)</f>
        <v>NA</v>
      </c>
      <c r="O20" s="16" t="str">
        <f>IF('Conversion Tables'!M19="NA","NA",G20*'Conversion Tables'!M19)</f>
        <v>NA</v>
      </c>
      <c r="P20" s="16" t="str">
        <f>IF('Conversion Tables'!N19="NA","NA",H20*'Conversion Tables'!N19)</f>
        <v>NA</v>
      </c>
      <c r="Q20" s="15"/>
    </row>
    <row r="21" spans="1:17" x14ac:dyDescent="0.25">
      <c r="A21" s="1207"/>
      <c r="B21" s="11" t="str">
        <f>IF('Prac. Rec. Assumptions'!$B$56='Prac. Rec. Assumptions'!$V$3,A87,IF('Prac. Rec. Assumptions'!B63="No",A87,"Wheat- Converted to Energy Crop"))</f>
        <v>Wheat</v>
      </c>
      <c r="C21" s="294">
        <f>IF('Prac. Rec. Assumptions'!$B$56='Prac. Rec. Assumptions'!$V$3,D87,IF('Prac. Rec. Assumptions'!B64="No",D87,0))</f>
        <v>1658.5625</v>
      </c>
      <c r="D21" s="294">
        <f>E21*'Conversion Tables'!C20</f>
        <v>0</v>
      </c>
      <c r="E21" s="294">
        <f>C21*'Prac. Rec. Assumptions'!B17</f>
        <v>0</v>
      </c>
      <c r="F21" s="294">
        <f t="shared" si="2"/>
        <v>0</v>
      </c>
      <c r="G21" s="294">
        <f t="shared" si="2"/>
        <v>0</v>
      </c>
      <c r="H21" s="294">
        <f t="shared" si="2"/>
        <v>0</v>
      </c>
      <c r="I21" s="16" t="str">
        <f>IF('Conversion Tables'!F20="NA","NA",(E21*'Conversion Tables'!$C20)/'Conversion Tables'!F20)</f>
        <v>NA</v>
      </c>
      <c r="J21" s="16" t="str">
        <f>IF('Conversion Tables'!G20="NA","NA",(F21*'Conversion Tables'!$C20)/'Conversion Tables'!G20)</f>
        <v>NA</v>
      </c>
      <c r="K21" s="16" t="str">
        <f>IF('Conversion Tables'!H20="NA","NA",(G21*'Conversion Tables'!$C20)/'Conversion Tables'!H20)</f>
        <v>NA</v>
      </c>
      <c r="L21" s="16" t="str">
        <f>IF('Conversion Tables'!I20="NA","NA",(H21*'Conversion Tables'!$C20)/'Conversion Tables'!I20)</f>
        <v>NA</v>
      </c>
      <c r="M21" s="16" t="str">
        <f>IF('Conversion Tables'!K20="NA","NA",E21*'Conversion Tables'!K20)</f>
        <v>NA</v>
      </c>
      <c r="N21" s="16" t="str">
        <f>IF('Conversion Tables'!L20="NA","NA",F21*'Conversion Tables'!L20)</f>
        <v>NA</v>
      </c>
      <c r="O21" s="16" t="str">
        <f>IF('Conversion Tables'!M20="NA","NA",G21*'Conversion Tables'!M20)</f>
        <v>NA</v>
      </c>
      <c r="P21" s="16" t="str">
        <f>IF('Conversion Tables'!N20="NA","NA",H21*'Conversion Tables'!N20)</f>
        <v>NA</v>
      </c>
      <c r="Q21" s="15"/>
    </row>
    <row r="22" spans="1:17" x14ac:dyDescent="0.25">
      <c r="A22" s="1207"/>
      <c r="B22" s="148" t="s">
        <v>205</v>
      </c>
      <c r="C22" s="294">
        <f>'Biomass Data Assumptions'!P27*1000*'Energy Content Assumptions'!C18</f>
        <v>53839.5</v>
      </c>
      <c r="D22" s="294">
        <f>E22*'Conversion Tables'!C21</f>
        <v>419948.1</v>
      </c>
      <c r="E22" s="294">
        <f>C22*'Prac. Rec. Assumptions'!B18</f>
        <v>26919.75</v>
      </c>
      <c r="F22" s="294">
        <f t="shared" si="2"/>
        <v>26919.75</v>
      </c>
      <c r="G22" s="294">
        <f t="shared" si="2"/>
        <v>26919.75</v>
      </c>
      <c r="H22" s="294">
        <f t="shared" si="2"/>
        <v>26919.75</v>
      </c>
      <c r="I22" s="16" t="str">
        <f>IF('Conversion Tables'!F21="NA","NA",(E22*'Conversion Tables'!$C21)/'Conversion Tables'!F21)</f>
        <v>NA</v>
      </c>
      <c r="J22" s="16" t="str">
        <f>IF('Conversion Tables'!G21="NA","NA",(F22*'Conversion Tables'!$C21)/'Conversion Tables'!G21)</f>
        <v>NA</v>
      </c>
      <c r="K22" s="16" t="str">
        <f>IF('Conversion Tables'!H21="NA","NA",(G22*'Conversion Tables'!$C21)/'Conversion Tables'!H21)</f>
        <v>NA</v>
      </c>
      <c r="L22" s="16" t="str">
        <f>IF('Conversion Tables'!I21="NA","NA",(H22*'Conversion Tables'!$C21)/'Conversion Tables'!I21)</f>
        <v>NA</v>
      </c>
      <c r="M22" s="16" t="str">
        <f>IF('Conversion Tables'!K21="NA","NA",E22*'Conversion Tables'!K21)</f>
        <v>NA</v>
      </c>
      <c r="N22" s="16" t="str">
        <f>IF('Conversion Tables'!L21="NA","NA",F22*'Conversion Tables'!L21)</f>
        <v>NA</v>
      </c>
      <c r="O22" s="16" t="str">
        <f>IF('Conversion Tables'!M21="NA","NA",G22*'Conversion Tables'!M21)</f>
        <v>NA</v>
      </c>
      <c r="P22" s="16" t="str">
        <f>IF('Conversion Tables'!N21="NA","NA",H22*'Conversion Tables'!N21)</f>
        <v>NA</v>
      </c>
      <c r="Q22" s="15"/>
    </row>
    <row r="23" spans="1:17" x14ac:dyDescent="0.25">
      <c r="A23" s="1207"/>
      <c r="B23" s="2" t="s">
        <v>302</v>
      </c>
      <c r="C23" s="294">
        <f>B133</f>
        <v>7930.77</v>
      </c>
      <c r="D23" s="294">
        <f>E23*'Conversion Tables'!C22</f>
        <v>129557.05872</v>
      </c>
      <c r="E23" s="294">
        <f>C23*'Prac. Rec. Assumptions'!B19</f>
        <v>7930.77</v>
      </c>
      <c r="F23" s="297">
        <f t="shared" si="2"/>
        <v>7930.77</v>
      </c>
      <c r="G23" s="297">
        <f t="shared" si="2"/>
        <v>7930.77</v>
      </c>
      <c r="H23" s="297">
        <f t="shared" si="2"/>
        <v>7930.77</v>
      </c>
      <c r="I23" s="16" t="str">
        <f>IF('Conversion Tables'!F22="NA","NA",(E23*'Conversion Tables'!$C22)/'Conversion Tables'!F22)</f>
        <v>NA</v>
      </c>
      <c r="J23" s="16" t="str">
        <f>IF('Conversion Tables'!G22="NA","NA",(F23*'Conversion Tables'!$C22)/'Conversion Tables'!G22)</f>
        <v>NA</v>
      </c>
      <c r="K23" s="16" t="str">
        <f>IF('Conversion Tables'!H22="NA","NA",(G23*'Conversion Tables'!$C22)/'Conversion Tables'!H22)</f>
        <v>NA</v>
      </c>
      <c r="L23" s="16" t="str">
        <f>IF('Conversion Tables'!I22="NA","NA",(H23*'Conversion Tables'!$C22)/'Conversion Tables'!I22)</f>
        <v>NA</v>
      </c>
      <c r="M23" s="16" t="str">
        <f>IF('Conversion Tables'!K22="NA","NA",E23*'Conversion Tables'!K22)</f>
        <v>NA</v>
      </c>
      <c r="N23" s="16" t="str">
        <f>IF('Conversion Tables'!L22="NA","NA",F23*'Conversion Tables'!L22)</f>
        <v>NA</v>
      </c>
      <c r="O23" s="16" t="str">
        <f>IF('Conversion Tables'!M22="NA","NA",G23*'Conversion Tables'!M22)</f>
        <v>NA</v>
      </c>
      <c r="P23" s="16" t="str">
        <f>IF('Conversion Tables'!N22="NA","NA",H23*'Conversion Tables'!N22)</f>
        <v>NA</v>
      </c>
      <c r="Q23" s="7"/>
    </row>
    <row r="24" spans="1:17" x14ac:dyDescent="0.25">
      <c r="A24" s="1207"/>
      <c r="B24" s="1" t="s">
        <v>518</v>
      </c>
      <c r="C24" s="294"/>
      <c r="D24" s="294"/>
      <c r="E24" s="294"/>
      <c r="F24" s="294"/>
      <c r="G24" s="294"/>
      <c r="H24" s="294"/>
      <c r="I24" s="16"/>
      <c r="J24" s="16"/>
      <c r="K24" s="16"/>
      <c r="L24" s="16"/>
      <c r="M24" s="16"/>
      <c r="N24" s="16"/>
      <c r="O24" s="16"/>
      <c r="P24" s="16"/>
      <c r="Q24" s="7"/>
    </row>
    <row r="25" spans="1:17" x14ac:dyDescent="0.25">
      <c r="A25" s="1207"/>
      <c r="B25" s="11" t="s">
        <v>559</v>
      </c>
      <c r="C25" s="294">
        <f>C128</f>
        <v>3456.4650000000001</v>
      </c>
      <c r="D25" s="294">
        <f>E25*'Conversion Tables'!C24</f>
        <v>61179.430500000002</v>
      </c>
      <c r="E25" s="294">
        <f>C25*'Prac. Rec. Assumptions'!B21</f>
        <v>3456.4650000000001</v>
      </c>
      <c r="F25" s="294">
        <f>($C25*(1+'Biomass Data Assumptions'!G$112))*'Prac. Rec. Assumptions'!$B21</f>
        <v>3597.9945040946313</v>
      </c>
      <c r="G25" s="294">
        <f>($C25*(1+'Biomass Data Assumptions'!H$112))*'Prac. Rec. Assumptions'!$B21</f>
        <v>3752.1044085532303</v>
      </c>
      <c r="H25" s="294">
        <f>($C25*(1+'Biomass Data Assumptions'!I$112))*'Prac. Rec. Assumptions'!$B21</f>
        <v>3865.3280118289354</v>
      </c>
      <c r="I25" s="16" t="str">
        <f>IF('Conversion Tables'!F24="NA","NA",(E25*'Conversion Tables'!$C24)/'Conversion Tables'!F24)</f>
        <v>NA</v>
      </c>
      <c r="J25" s="16" t="str">
        <f>IF('Conversion Tables'!G24="NA","NA",(F25*'Conversion Tables'!$C24)/'Conversion Tables'!G24)</f>
        <v>NA</v>
      </c>
      <c r="K25" s="16" t="str">
        <f>IF('Conversion Tables'!H24="NA","NA",(G25*'Conversion Tables'!$C24)/'Conversion Tables'!H24)</f>
        <v>NA</v>
      </c>
      <c r="L25" s="16" t="str">
        <f>IF('Conversion Tables'!I24="NA","NA",(H25*'Conversion Tables'!$C24)/'Conversion Tables'!I24)</f>
        <v>NA</v>
      </c>
      <c r="M25" s="16" t="str">
        <f>IF('Conversion Tables'!K24="NA","NA",E25*'Conversion Tables'!K24)</f>
        <v>NA</v>
      </c>
      <c r="N25" s="16" t="str">
        <f>IF('Conversion Tables'!L24="NA","NA",F25*'Conversion Tables'!L24)</f>
        <v>NA</v>
      </c>
      <c r="O25" s="16" t="str">
        <f>IF('Conversion Tables'!M24="NA","NA",G25*'Conversion Tables'!M24)</f>
        <v>NA</v>
      </c>
      <c r="P25" s="16" t="str">
        <f>IF('Conversion Tables'!N24="NA","NA",H25*'Conversion Tables'!N24)</f>
        <v>NA</v>
      </c>
      <c r="Q25" s="13"/>
    </row>
    <row r="26" spans="1:17" x14ac:dyDescent="0.25">
      <c r="A26" s="1207"/>
      <c r="B26" s="11" t="s">
        <v>560</v>
      </c>
      <c r="C26" s="294">
        <f>C129</f>
        <v>274.72666666666663</v>
      </c>
      <c r="D26" s="294">
        <f>E26*'Conversion Tables'!C25</f>
        <v>4285.735999999999</v>
      </c>
      <c r="E26" s="294">
        <f>C26*'Prac. Rec. Assumptions'!B22</f>
        <v>274.72666666666663</v>
      </c>
      <c r="F26" s="294">
        <f>($C26*(1+'Biomass Data Assumptions'!G$112))*'Prac. Rec. Assumptions'!$B22</f>
        <v>285.97571125265387</v>
      </c>
      <c r="G26" s="294">
        <f>($C26*(1+'Biomass Data Assumptions'!H$112))*'Prac. Rec. Assumptions'!$B22</f>
        <v>298.22467091295113</v>
      </c>
      <c r="H26" s="294">
        <f>($C26*(1+'Biomass Data Assumptions'!I$112))*'Prac. Rec. Assumptions'!$B22</f>
        <v>307.22390658174095</v>
      </c>
      <c r="I26" s="16" t="str">
        <f>IF('Conversion Tables'!F25="NA","NA",(E26*'Conversion Tables'!$C25)/'Conversion Tables'!F25)</f>
        <v>NA</v>
      </c>
      <c r="J26" s="16" t="str">
        <f>IF('Conversion Tables'!G25="NA","NA",(F26*'Conversion Tables'!$C25)/'Conversion Tables'!G25)</f>
        <v>NA</v>
      </c>
      <c r="K26" s="16" t="str">
        <f>IF('Conversion Tables'!H25="NA","NA",(G26*'Conversion Tables'!$C25)/'Conversion Tables'!H25)</f>
        <v>NA</v>
      </c>
      <c r="L26" s="16" t="str">
        <f>IF('Conversion Tables'!I25="NA","NA",(H26*'Conversion Tables'!$C25)/'Conversion Tables'!I25)</f>
        <v>NA</v>
      </c>
      <c r="M26" s="16" t="str">
        <f>IF('Conversion Tables'!K25="NA","NA",E26*'Conversion Tables'!K25)</f>
        <v>NA</v>
      </c>
      <c r="N26" s="16" t="str">
        <f>IF('Conversion Tables'!L25="NA","NA",F26*'Conversion Tables'!L25)</f>
        <v>NA</v>
      </c>
      <c r="O26" s="16" t="str">
        <f>IF('Conversion Tables'!M25="NA","NA",G26*'Conversion Tables'!M25)</f>
        <v>NA</v>
      </c>
      <c r="P26" s="16" t="str">
        <f>IF('Conversion Tables'!N25="NA","NA",H26*'Conversion Tables'!N25)</f>
        <v>NA</v>
      </c>
      <c r="Q26" s="13"/>
    </row>
    <row r="27" spans="1:17" x14ac:dyDescent="0.25">
      <c r="A27" s="1207"/>
      <c r="B27" s="11" t="s">
        <v>561</v>
      </c>
      <c r="C27" s="294">
        <f>C130</f>
        <v>753.8599999999999</v>
      </c>
      <c r="D27" s="294">
        <f>E27*'Conversion Tables'!C26</f>
        <v>11760.215999999999</v>
      </c>
      <c r="E27" s="294">
        <f>C27*'Prac. Rec. Assumptions'!B23</f>
        <v>753.8599999999999</v>
      </c>
      <c r="F27" s="294">
        <f>($C27*(1+'Biomass Data Assumptions'!G$112))*'Prac. Rec. Assumptions'!$B23</f>
        <v>784.72778889899894</v>
      </c>
      <c r="G27" s="294">
        <f>($C27*(1+'Biomass Data Assumptions'!H$112))*'Prac. Rec. Assumptions'!$B23</f>
        <v>818.33938125568682</v>
      </c>
      <c r="H27" s="294">
        <f>($C27*(1+'Biomass Data Assumptions'!I$112))*'Prac. Rec. Assumptions'!$B23</f>
        <v>843.03361237488616</v>
      </c>
      <c r="I27" s="16" t="str">
        <f>IF('Conversion Tables'!F26="NA","NA",(E27*'Conversion Tables'!$C26)/'Conversion Tables'!F26)</f>
        <v>NA</v>
      </c>
      <c r="J27" s="16" t="str">
        <f>IF('Conversion Tables'!G26="NA","NA",(F27*'Conversion Tables'!$C26)/'Conversion Tables'!G26)</f>
        <v>NA</v>
      </c>
      <c r="K27" s="16" t="str">
        <f>IF('Conversion Tables'!H26="NA","NA",(G27*'Conversion Tables'!$C26)/'Conversion Tables'!H26)</f>
        <v>NA</v>
      </c>
      <c r="L27" s="16" t="str">
        <f>IF('Conversion Tables'!I26="NA","NA",(H27*'Conversion Tables'!$C26)/'Conversion Tables'!I26)</f>
        <v>NA</v>
      </c>
      <c r="M27" s="16" t="str">
        <f>IF('Conversion Tables'!K26="NA","NA",E27*'Conversion Tables'!K26)</f>
        <v>NA</v>
      </c>
      <c r="N27" s="16" t="str">
        <f>IF('Conversion Tables'!L26="NA","NA",F27*'Conversion Tables'!L26)</f>
        <v>NA</v>
      </c>
      <c r="O27" s="16" t="str">
        <f>IF('Conversion Tables'!M26="NA","NA",G27*'Conversion Tables'!M26)</f>
        <v>NA</v>
      </c>
      <c r="P27" s="16" t="str">
        <f>IF('Conversion Tables'!N26="NA","NA",H27*'Conversion Tables'!N26)</f>
        <v>NA</v>
      </c>
      <c r="Q27" s="13"/>
    </row>
    <row r="28" spans="1:17" x14ac:dyDescent="0.25">
      <c r="A28" s="1207"/>
      <c r="B28" s="11" t="s">
        <v>562</v>
      </c>
      <c r="C28" s="294">
        <f>C131</f>
        <v>59.534999999999997</v>
      </c>
      <c r="D28" s="294">
        <f>E28*'Conversion Tables'!C27</f>
        <v>1053.7694999999999</v>
      </c>
      <c r="E28" s="294">
        <f>C28*'Prac. Rec. Assumptions'!B24</f>
        <v>59.534999999999997</v>
      </c>
      <c r="F28" s="294">
        <f>($C28*(1+'Biomass Data Assumptions'!G$112))*'Prac. Rec. Assumptions'!$B24</f>
        <v>61.972738853503181</v>
      </c>
      <c r="G28" s="294">
        <f>($C28*(1+'Biomass Data Assumptions'!H$112))*'Prac. Rec. Assumptions'!$B24</f>
        <v>64.627165605095541</v>
      </c>
      <c r="H28" s="294">
        <f>($C28*(1+'Biomass Data Assumptions'!I$112))*'Prac. Rec. Assumptions'!$B24</f>
        <v>66.577356687898089</v>
      </c>
      <c r="I28" s="16" t="str">
        <f>IF('Conversion Tables'!F27="NA","NA",(E28*'Conversion Tables'!$C27)/'Conversion Tables'!F27)</f>
        <v>NA</v>
      </c>
      <c r="J28" s="16" t="str">
        <f>IF('Conversion Tables'!G27="NA","NA",(F28*'Conversion Tables'!$C27)/'Conversion Tables'!G27)</f>
        <v>NA</v>
      </c>
      <c r="K28" s="16" t="str">
        <f>IF('Conversion Tables'!H27="NA","NA",(G28*'Conversion Tables'!$C27)/'Conversion Tables'!H27)</f>
        <v>NA</v>
      </c>
      <c r="L28" s="16" t="str">
        <f>IF('Conversion Tables'!I27="NA","NA",(H28*'Conversion Tables'!$C27)/'Conversion Tables'!I27)</f>
        <v>NA</v>
      </c>
      <c r="M28" s="16" t="str">
        <f>IF('Conversion Tables'!K27="NA","NA",E28*'Conversion Tables'!K27)</f>
        <v>NA</v>
      </c>
      <c r="N28" s="16" t="str">
        <f>IF('Conversion Tables'!L27="NA","NA",F28*'Conversion Tables'!L27)</f>
        <v>NA</v>
      </c>
      <c r="O28" s="16" t="str">
        <f>IF('Conversion Tables'!M27="NA","NA",G28*'Conversion Tables'!M27)</f>
        <v>NA</v>
      </c>
      <c r="P28" s="16" t="str">
        <f>IF('Conversion Tables'!N27="NA","NA",H28*'Conversion Tables'!N27)</f>
        <v>NA</v>
      </c>
      <c r="Q28" s="13"/>
    </row>
    <row r="29" spans="1:17" x14ac:dyDescent="0.25">
      <c r="A29" s="1208"/>
      <c r="B29" s="9" t="s">
        <v>524</v>
      </c>
      <c r="C29" s="295">
        <f t="shared" ref="C29:P29" si="3">SUM(C13:C28)</f>
        <v>139757.16916666663</v>
      </c>
      <c r="D29" s="295">
        <f>SUM(D13:D28)</f>
        <v>1314579.4878800001</v>
      </c>
      <c r="E29" s="295">
        <f t="shared" si="3"/>
        <v>83122.424166666679</v>
      </c>
      <c r="F29" s="295">
        <f>SUM(F13:F28)</f>
        <v>83308.508243099801</v>
      </c>
      <c r="G29" s="295">
        <f>SUM(G13:G28)</f>
        <v>83511.133126326982</v>
      </c>
      <c r="H29" s="295">
        <f>SUM(H13:H28)</f>
        <v>83660.000387473468</v>
      </c>
      <c r="I29" s="19">
        <f t="shared" si="3"/>
        <v>0</v>
      </c>
      <c r="J29" s="19">
        <f t="shared" si="3"/>
        <v>0</v>
      </c>
      <c r="K29" s="19">
        <f t="shared" si="3"/>
        <v>0</v>
      </c>
      <c r="L29" s="19">
        <f t="shared" si="3"/>
        <v>0</v>
      </c>
      <c r="M29" s="19">
        <f t="shared" si="3"/>
        <v>0</v>
      </c>
      <c r="N29" s="19">
        <f t="shared" si="3"/>
        <v>0</v>
      </c>
      <c r="O29" s="19">
        <f t="shared" si="3"/>
        <v>0</v>
      </c>
      <c r="P29" s="19">
        <f t="shared" si="3"/>
        <v>0</v>
      </c>
      <c r="Q29" s="19"/>
    </row>
    <row r="30" spans="1:17" x14ac:dyDescent="0.25">
      <c r="A30" s="8"/>
      <c r="C30" s="296"/>
      <c r="D30" s="296"/>
      <c r="E30" s="296"/>
      <c r="F30" s="296"/>
      <c r="G30" s="296"/>
      <c r="H30" s="296"/>
      <c r="I30" s="28"/>
      <c r="J30" s="28"/>
      <c r="K30" s="28"/>
      <c r="L30" s="28"/>
      <c r="M30" s="28"/>
      <c r="N30" s="28"/>
      <c r="O30" s="28"/>
      <c r="P30" s="28"/>
    </row>
    <row r="31" spans="1:17" x14ac:dyDescent="0.25">
      <c r="A31" s="1064" t="s">
        <v>516</v>
      </c>
      <c r="B31" s="130" t="str">
        <f>'Bioenergy Calculator'!B34</f>
        <v>Solid wastes - Landfilled</v>
      </c>
      <c r="C31" s="294"/>
      <c r="D31" s="294"/>
      <c r="E31" s="294"/>
      <c r="F31" s="294"/>
      <c r="G31" s="294"/>
      <c r="H31" s="294"/>
      <c r="I31" s="16"/>
      <c r="J31" s="16"/>
      <c r="K31" s="16"/>
      <c r="L31" s="16"/>
      <c r="M31" s="16"/>
      <c r="N31" s="16"/>
      <c r="O31" s="16"/>
      <c r="P31" s="16"/>
      <c r="Q31" s="7"/>
    </row>
    <row r="32" spans="1:17" x14ac:dyDescent="0.25">
      <c r="A32" s="1064"/>
      <c r="B32" s="11" t="str">
        <f>'Bioenergy Calculator'!B35</f>
        <v>Food waste, Landfilled</v>
      </c>
      <c r="C32" s="294">
        <f>C141</f>
        <v>708.91713899999979</v>
      </c>
      <c r="D32" s="294">
        <f>E32*'Conversion Tables'!C29</f>
        <v>6805.6045343999995</v>
      </c>
      <c r="E32" s="294">
        <f>C32*'Prac. Rec. Assumptions'!B26</f>
        <v>425.35028339999997</v>
      </c>
      <c r="F32" s="294">
        <f>($C32*(1+'Biomass Data Assumptions'!G$112)*(1+'Biomass Data Assumptions'!C$82))*'Prac. Rec. Assumptions'!$B26</f>
        <v>442.46618042774105</v>
      </c>
      <c r="G32" s="294">
        <f>($C32*(1+'Biomass Data Assumptions'!H$112)*(1+'Biomass Data Assumptions'!D$82))*'Prac. Rec. Assumptions'!$B26</f>
        <v>461.10467278501852</v>
      </c>
      <c r="H32" s="294">
        <f>($C32*(1+'Biomass Data Assumptions'!I$112)*(1+'Biomass Data Assumptions'!E$82))*'Prac. Rec. Assumptions'!$B26</f>
        <v>474.69645160686923</v>
      </c>
      <c r="I32" s="16" t="str">
        <f>IF('Conversion Tables'!F29="NA","NA",(E32*'Conversion Tables'!$C29)/'Conversion Tables'!F29)</f>
        <v>NA</v>
      </c>
      <c r="J32" s="16" t="str">
        <f>IF('Conversion Tables'!G29="NA","NA",(F32*'Conversion Tables'!$C29)/'Conversion Tables'!G29)</f>
        <v>NA</v>
      </c>
      <c r="K32" s="16" t="str">
        <f>IF('Conversion Tables'!H29="NA","NA",(G32*'Conversion Tables'!$C29)/'Conversion Tables'!H29)</f>
        <v>NA</v>
      </c>
      <c r="L32" s="16" t="str">
        <f>IF('Conversion Tables'!I29="NA","NA",(H32*'Conversion Tables'!$C29)/'Conversion Tables'!I29)</f>
        <v>NA</v>
      </c>
      <c r="M32" s="16" t="str">
        <f>IF('Conversion Tables'!K29="NA","NA",E32*'Conversion Tables'!K29)</f>
        <v>NA</v>
      </c>
      <c r="N32" s="16" t="str">
        <f>IF('Conversion Tables'!L29="NA","NA",F32*'Conversion Tables'!L29)</f>
        <v>NA</v>
      </c>
      <c r="O32" s="16" t="str">
        <f>IF('Conversion Tables'!M29="NA","NA",G32*'Conversion Tables'!M29)</f>
        <v>NA</v>
      </c>
      <c r="P32" s="16" t="str">
        <f>IF('Conversion Tables'!N29="NA","NA",H32*'Conversion Tables'!N29)</f>
        <v>NA</v>
      </c>
      <c r="Q32" s="7"/>
    </row>
    <row r="33" spans="1:17" x14ac:dyDescent="0.25">
      <c r="A33" s="1064"/>
      <c r="B33" s="11" t="str">
        <f>'Bioenergy Calculator'!B36</f>
        <v>Waste paper, Landfilled</v>
      </c>
      <c r="C33" s="294">
        <f>C142</f>
        <v>2614.7481074999992</v>
      </c>
      <c r="D33" s="294">
        <f>E33*'Conversion Tables'!C30</f>
        <v>30377.097613691989</v>
      </c>
      <c r="E33" s="294">
        <f>C33*'Prac. Rec. Assumptions'!B27</f>
        <v>2091.7984859999992</v>
      </c>
      <c r="F33" s="294">
        <f>($C33*(1+'Biomass Data Assumptions'!G$112)*(1+'Biomass Data Assumptions'!C$82))*'Prac. Rec. Assumptions'!$B27</f>
        <v>2175.9714814967288</v>
      </c>
      <c r="G33" s="294">
        <f>($C33*(1+'Biomass Data Assumptions'!H$112)*(1+'Biomass Data Assumptions'!D$82))*'Prac. Rec. Assumptions'!$B27</f>
        <v>2267.6323351880178</v>
      </c>
      <c r="H33" s="294">
        <f>($C33*(1+'Biomass Data Assumptions'!I$112)*(1+'Biomass Data Assumptions'!E$82))*'Prac. Rec. Assumptions'!$B27</f>
        <v>2334.4743321753745</v>
      </c>
      <c r="I33" s="16" t="str">
        <f>IF('Conversion Tables'!F30="NA","NA",(E33*'Conversion Tables'!$C30)/'Conversion Tables'!F30)</f>
        <v>NA</v>
      </c>
      <c r="J33" s="16" t="str">
        <f>IF('Conversion Tables'!G30="NA","NA",(F33*'Conversion Tables'!$C30)/'Conversion Tables'!G30)</f>
        <v>NA</v>
      </c>
      <c r="K33" s="16" t="str">
        <f>IF('Conversion Tables'!H30="NA","NA",(G33*'Conversion Tables'!$C30)/'Conversion Tables'!H30)</f>
        <v>NA</v>
      </c>
      <c r="L33" s="16" t="str">
        <f>IF('Conversion Tables'!I30="NA","NA",(H33*'Conversion Tables'!$C30)/'Conversion Tables'!I30)</f>
        <v>NA</v>
      </c>
      <c r="M33" s="16" t="str">
        <f>IF('Conversion Tables'!K30="NA","NA",E33*'Conversion Tables'!K30)</f>
        <v>NA</v>
      </c>
      <c r="N33" s="16" t="str">
        <f>IF('Conversion Tables'!L30="NA","NA",F33*'Conversion Tables'!L30)</f>
        <v>NA</v>
      </c>
      <c r="O33" s="16" t="str">
        <f>IF('Conversion Tables'!M30="NA","NA",G33*'Conversion Tables'!M30)</f>
        <v>NA</v>
      </c>
      <c r="P33" s="16" t="str">
        <f>IF('Conversion Tables'!N30="NA","NA",H33*'Conversion Tables'!N30)</f>
        <v>NA</v>
      </c>
      <c r="Q33" s="7"/>
    </row>
    <row r="34" spans="1:17" x14ac:dyDescent="0.25">
      <c r="A34" s="1064"/>
      <c r="B34" s="11" t="str">
        <f>'Bioenergy Calculator'!B37</f>
        <v>Other Biomass, Landfilled</v>
      </c>
      <c r="C34" s="294">
        <f>C143</f>
        <v>2011.287247499999</v>
      </c>
      <c r="D34" s="294">
        <f>E34*'Conversion Tables'!C31</f>
        <v>21029.697653900392</v>
      </c>
      <c r="E34" s="294">
        <f>C34*'Prac. Rec. Assumptions'!B28</f>
        <v>1448.1268181999994</v>
      </c>
      <c r="F34" s="294">
        <f>($C34*(1+'Biomass Data Assumptions'!G$112)*(1+'Biomass Data Assumptions'!C$82))*'Prac. Rec. Assumptions'!$B28</f>
        <v>1506.3987659821823</v>
      </c>
      <c r="G34" s="294">
        <f>($C34*(1+'Biomass Data Assumptions'!H$112)*(1+'Biomass Data Assumptions'!D$82))*'Prac. Rec. Assumptions'!$B28</f>
        <v>1569.8544675221929</v>
      </c>
      <c r="H34" s="294">
        <f>($C34*(1+'Biomass Data Assumptions'!I$112)*(1+'Biomass Data Assumptions'!E$82))*'Prac. Rec. Assumptions'!$B28</f>
        <v>1616.128374434006</v>
      </c>
      <c r="I34" s="16" t="str">
        <f>IF('Conversion Tables'!F31="NA","NA",(E34*'Conversion Tables'!$C31)/'Conversion Tables'!F31)</f>
        <v>NA</v>
      </c>
      <c r="J34" s="16" t="str">
        <f>IF('Conversion Tables'!G31="NA","NA",(F34*'Conversion Tables'!$C31)/'Conversion Tables'!G31)</f>
        <v>NA</v>
      </c>
      <c r="K34" s="16" t="str">
        <f>IF('Conversion Tables'!H31="NA","NA",(G34*'Conversion Tables'!$C31)/'Conversion Tables'!H31)</f>
        <v>NA</v>
      </c>
      <c r="L34" s="16" t="str">
        <f>IF('Conversion Tables'!I31="NA","NA",(H34*'Conversion Tables'!$C31)/'Conversion Tables'!I31)</f>
        <v>NA</v>
      </c>
      <c r="M34" s="16" t="str">
        <f>IF('Conversion Tables'!K31="NA","NA",E34*'Conversion Tables'!K31)</f>
        <v>NA</v>
      </c>
      <c r="N34" s="16" t="str">
        <f>IF('Conversion Tables'!L31="NA","NA",F34*'Conversion Tables'!L31)</f>
        <v>NA</v>
      </c>
      <c r="O34" s="16" t="str">
        <f>IF('Conversion Tables'!M31="NA","NA",G34*'Conversion Tables'!M31)</f>
        <v>NA</v>
      </c>
      <c r="P34" s="16" t="str">
        <f>IF('Conversion Tables'!N31="NA","NA",H34*'Conversion Tables'!N31)</f>
        <v>NA</v>
      </c>
      <c r="Q34" s="7"/>
    </row>
    <row r="35" spans="1:17" x14ac:dyDescent="0.25">
      <c r="A35" s="1065"/>
      <c r="B35" s="11" t="str">
        <f>'Bioenergy Calculator'!B38</f>
        <v>C&amp;D (Non-recycled wood)</v>
      </c>
      <c r="C35" s="294">
        <f>C145</f>
        <v>873.83360000000016</v>
      </c>
      <c r="D35" s="294">
        <f>E35*'Conversion Tables'!C32</f>
        <v>9898.787020800004</v>
      </c>
      <c r="E35" s="294">
        <f>C35*'Prac. Rec. Assumptions'!B29</f>
        <v>559.25350400000025</v>
      </c>
      <c r="F35" s="294">
        <f>($C35*(1+'Biomass Data Assumptions'!G$112)*(1+'Biomass Data Assumptions'!C$83))*'Prac. Rec. Assumptions'!$B29</f>
        <v>611.38340626253887</v>
      </c>
      <c r="G35" s="294">
        <f>($C35*(1+'Biomass Data Assumptions'!H$112)*(1+'Biomass Data Assumptions'!D$83))*'Prac. Rec. Assumptions'!$B29</f>
        <v>669.58338382895397</v>
      </c>
      <c r="H35" s="294">
        <f>($C35*(1+'Biomass Data Assumptions'!I$112)*(1+'Biomass Data Assumptions'!E$83))*'Prac. Rec. Assumptions'!$B29</f>
        <v>724.42379719525456</v>
      </c>
      <c r="I35" s="16" t="str">
        <f>IF('Conversion Tables'!F32="NA","NA",(E35*'Conversion Tables'!$C32)/'Conversion Tables'!F32)</f>
        <v>NA</v>
      </c>
      <c r="J35" s="16" t="str">
        <f>IF('Conversion Tables'!G32="NA","NA",(F35*'Conversion Tables'!$C32)/'Conversion Tables'!G32)</f>
        <v>NA</v>
      </c>
      <c r="K35" s="16" t="str">
        <f>IF('Conversion Tables'!H32="NA","NA",(G35*'Conversion Tables'!$C32)/'Conversion Tables'!H32)</f>
        <v>NA</v>
      </c>
      <c r="L35" s="16" t="str">
        <f>IF('Conversion Tables'!I32="NA","NA",(H35*'Conversion Tables'!$C32)/'Conversion Tables'!I32)</f>
        <v>NA</v>
      </c>
      <c r="M35" s="16" t="str">
        <f>IF('Conversion Tables'!K32="NA","NA",E35*'Conversion Tables'!K32)</f>
        <v>NA</v>
      </c>
      <c r="N35" s="16" t="str">
        <f>IF('Conversion Tables'!L32="NA","NA",F35*'Conversion Tables'!L32)</f>
        <v>NA</v>
      </c>
      <c r="O35" s="16" t="str">
        <f>IF('Conversion Tables'!M32="NA","NA",G35*'Conversion Tables'!M32)</f>
        <v>NA</v>
      </c>
      <c r="P35" s="16" t="str">
        <f>IF('Conversion Tables'!N32="NA","NA",H35*'Conversion Tables'!N32)</f>
        <v>NA</v>
      </c>
      <c r="Q35" s="7"/>
    </row>
    <row r="36" spans="1:17" x14ac:dyDescent="0.25">
      <c r="A36" s="1065"/>
      <c r="B36" s="4" t="s">
        <v>280</v>
      </c>
      <c r="C36" s="294"/>
      <c r="D36" s="294"/>
      <c r="E36" s="294"/>
      <c r="F36" s="294"/>
      <c r="G36" s="294"/>
      <c r="H36" s="294"/>
      <c r="I36" s="16"/>
      <c r="J36" s="16"/>
      <c r="K36" s="16"/>
      <c r="L36" s="16"/>
      <c r="M36" s="16"/>
      <c r="N36" s="16"/>
      <c r="O36" s="16"/>
      <c r="P36" s="16"/>
      <c r="Q36" s="7"/>
    </row>
    <row r="37" spans="1:17" x14ac:dyDescent="0.25">
      <c r="A37" s="1065"/>
      <c r="B37" s="677" t="s">
        <v>563</v>
      </c>
      <c r="C37" s="299">
        <f>C132</f>
        <v>554.59</v>
      </c>
      <c r="D37" s="294">
        <f>E37*'Conversion Tables'!C34</f>
        <v>8873.44</v>
      </c>
      <c r="E37" s="294">
        <f>C37*'Prac. Rec. Assumptions'!B31</f>
        <v>554.59</v>
      </c>
      <c r="F37" s="294">
        <f>($C37*(1+'Biomass Data Assumptions'!G$112)*(1+'Biomass Data Assumptions'!C$84))*'Prac. Rec. Assumptions'!$B31</f>
        <v>631.26207045361491</v>
      </c>
      <c r="G37" s="294">
        <f>($C37*(1+'Biomass Data Assumptions'!H$112)*(1+'Biomass Data Assumptions'!D$84))*'Prac. Rec. Assumptions'!$B31</f>
        <v>719.83580288310088</v>
      </c>
      <c r="H37" s="294">
        <f>($C37*(1+'Biomass Data Assumptions'!I$112)*(1+'Biomass Data Assumptions'!E$84))*'Prac. Rec. Assumptions'!$B31</f>
        <v>810.87556174324004</v>
      </c>
      <c r="I37" s="16" t="str">
        <f>IF('Conversion Tables'!F34="NA","NA",(E37*'Conversion Tables'!$C34)/'Conversion Tables'!F34)</f>
        <v>NA</v>
      </c>
      <c r="J37" s="16" t="str">
        <f>IF('Conversion Tables'!G34="NA","NA",(F37*'Conversion Tables'!$C34)/'Conversion Tables'!G34)</f>
        <v>NA</v>
      </c>
      <c r="K37" s="16" t="str">
        <f>IF('Conversion Tables'!H34="NA","NA",(G37*'Conversion Tables'!$C34)/'Conversion Tables'!H34)</f>
        <v>NA</v>
      </c>
      <c r="L37" s="16" t="str">
        <f>IF('Conversion Tables'!I34="NA","NA",(H37*'Conversion Tables'!$C34)/'Conversion Tables'!I34)</f>
        <v>NA</v>
      </c>
      <c r="M37" s="16" t="str">
        <f>IF('Conversion Tables'!K34="NA","NA",E37*'Conversion Tables'!K34)</f>
        <v>NA</v>
      </c>
      <c r="N37" s="16" t="str">
        <f>IF('Conversion Tables'!L34="NA","NA",F37*'Conversion Tables'!L34)</f>
        <v>NA</v>
      </c>
      <c r="O37" s="16" t="str">
        <f>IF('Conversion Tables'!M34="NA","NA",G37*'Conversion Tables'!M34)</f>
        <v>NA</v>
      </c>
      <c r="P37" s="16" t="str">
        <f>IF('Conversion Tables'!N34="NA","NA",H37*'Conversion Tables'!N34)</f>
        <v>NA</v>
      </c>
      <c r="Q37" s="18"/>
    </row>
    <row r="38" spans="1:17" x14ac:dyDescent="0.25">
      <c r="A38" s="1065"/>
      <c r="B38" s="11" t="s">
        <v>565</v>
      </c>
      <c r="C38" s="294">
        <f>C134</f>
        <v>703.48</v>
      </c>
      <c r="D38" s="294">
        <f>E38*'Conversion Tables'!C35</f>
        <v>6225.7979999999998</v>
      </c>
      <c r="E38" s="294">
        <f>C38*'Prac. Rec. Assumptions'!B32</f>
        <v>351.74</v>
      </c>
      <c r="F38" s="294">
        <f>($C38*(1+'Biomass Data Assumptions'!G$112)*(1+'Biomass Data Assumptions'!C$84))*'Prac. Rec. Assumptions'!$B32</f>
        <v>400.36805687328388</v>
      </c>
      <c r="G38" s="294">
        <f>($C38*(1+'Biomass Data Assumptions'!H$112)*(1+'Biomass Data Assumptions'!D$84))*'Prac. Rec. Assumptions'!$B32</f>
        <v>456.54455598929275</v>
      </c>
      <c r="H38" s="294">
        <f>($C38*(1+'Biomass Data Assumptions'!I$112)*(1+'Biomass Data Assumptions'!E$84))*'Prac. Rec. Assumptions'!$B32</f>
        <v>514.28509365038542</v>
      </c>
      <c r="I38" s="16" t="str">
        <f>IF('Conversion Tables'!F35="NA","NA",(E38*'Conversion Tables'!$C35)/'Conversion Tables'!F35)</f>
        <v>NA</v>
      </c>
      <c r="J38" s="16" t="str">
        <f>IF('Conversion Tables'!G35="NA","NA",(F38*'Conversion Tables'!$C35)/'Conversion Tables'!G35)</f>
        <v>NA</v>
      </c>
      <c r="K38" s="16" t="str">
        <f>IF('Conversion Tables'!H35="NA","NA",(G38*'Conversion Tables'!$C35)/'Conversion Tables'!H35)</f>
        <v>NA</v>
      </c>
      <c r="L38" s="16" t="str">
        <f>IF('Conversion Tables'!I35="NA","NA",(H38*'Conversion Tables'!$C35)/'Conversion Tables'!I35)</f>
        <v>NA</v>
      </c>
      <c r="M38" s="16" t="str">
        <f>IF('Conversion Tables'!K35="NA","NA",E38*'Conversion Tables'!K35)</f>
        <v>NA</v>
      </c>
      <c r="N38" s="16" t="str">
        <f>IF('Conversion Tables'!L35="NA","NA",F38*'Conversion Tables'!L35)</f>
        <v>NA</v>
      </c>
      <c r="O38" s="16" t="str">
        <f>IF('Conversion Tables'!M35="NA","NA",G38*'Conversion Tables'!M35)</f>
        <v>NA</v>
      </c>
      <c r="P38" s="16" t="str">
        <f>IF('Conversion Tables'!N35="NA","NA",H38*'Conversion Tables'!N35)</f>
        <v>NA</v>
      </c>
      <c r="Q38" s="13"/>
    </row>
    <row r="39" spans="1:17" x14ac:dyDescent="0.25">
      <c r="A39" s="1065"/>
      <c r="B39" s="17" t="s">
        <v>555</v>
      </c>
      <c r="C39" s="294">
        <f>C124</f>
        <v>5835.7980000000007</v>
      </c>
      <c r="D39" s="299">
        <f>E39*'Conversion Tables'!C36</f>
        <v>0</v>
      </c>
      <c r="E39" s="299">
        <f>C39*'Prac. Rec. Assumptions'!B33</f>
        <v>0</v>
      </c>
      <c r="F39" s="294">
        <f>($C39*(1+'Biomass Data Assumptions'!G$112)*(1+'Biomass Data Assumptions'!C$84))*'Prac. Rec. Assumptions'!$B33</f>
        <v>0</v>
      </c>
      <c r="G39" s="294">
        <f>($C39*(1+'Biomass Data Assumptions'!H$112)*(1+'Biomass Data Assumptions'!D$84))*'Prac. Rec. Assumptions'!$B33</f>
        <v>0</v>
      </c>
      <c r="H39" s="294">
        <f>($C39*(1+'Biomass Data Assumptions'!I$112)*(1+'Biomass Data Assumptions'!E$84))*'Prac. Rec. Assumptions'!$B33</f>
        <v>0</v>
      </c>
      <c r="I39" s="16" t="str">
        <f>IF('Conversion Tables'!F36="NA","NA",(E39*'Conversion Tables'!$C36)/'Conversion Tables'!F36)</f>
        <v>NA</v>
      </c>
      <c r="J39" s="16" t="str">
        <f>IF('Conversion Tables'!G36="NA","NA",(F39*'Conversion Tables'!$C36)/'Conversion Tables'!G36)</f>
        <v>NA</v>
      </c>
      <c r="K39" s="16" t="str">
        <f>IF('Conversion Tables'!H36="NA","NA",(G39*'Conversion Tables'!$C36)/'Conversion Tables'!H36)</f>
        <v>NA</v>
      </c>
      <c r="L39" s="16" t="str">
        <f>IF('Conversion Tables'!I36="NA","NA",(H39*'Conversion Tables'!$C36)/'Conversion Tables'!I36)</f>
        <v>NA</v>
      </c>
      <c r="M39" s="16" t="str">
        <f>IF('Conversion Tables'!K36="NA","NA",E39*'Conversion Tables'!K36)</f>
        <v>NA</v>
      </c>
      <c r="N39" s="16" t="str">
        <f>IF('Conversion Tables'!L36="NA","NA",F39*'Conversion Tables'!L36)</f>
        <v>NA</v>
      </c>
      <c r="O39" s="16" t="str">
        <f>IF('Conversion Tables'!M36="NA","NA",G39*'Conversion Tables'!M36)</f>
        <v>NA</v>
      </c>
      <c r="P39" s="16" t="str">
        <f>IF('Conversion Tables'!N36="NA","NA",H39*'Conversion Tables'!N36)</f>
        <v>NA</v>
      </c>
      <c r="Q39" s="27"/>
    </row>
    <row r="40" spans="1:17" x14ac:dyDescent="0.25">
      <c r="A40" s="1065"/>
      <c r="B40" s="17" t="s">
        <v>556</v>
      </c>
      <c r="C40" s="294">
        <f>C125</f>
        <v>679.923</v>
      </c>
      <c r="D40" s="299">
        <f>E40*'Conversion Tables'!C37</f>
        <v>0</v>
      </c>
      <c r="E40" s="299">
        <f>C40*'Prac. Rec. Assumptions'!B34</f>
        <v>0</v>
      </c>
      <c r="F40" s="294">
        <f>($C40*(1+'Biomass Data Assumptions'!G$112)*(1+'Biomass Data Assumptions'!C$84))*'Prac. Rec. Assumptions'!$B34</f>
        <v>0</v>
      </c>
      <c r="G40" s="294">
        <f>($C40*(1+'Biomass Data Assumptions'!H$112)*(1+'Biomass Data Assumptions'!D$84))*'Prac. Rec. Assumptions'!$B34</f>
        <v>0</v>
      </c>
      <c r="H40" s="294">
        <f>($C40*(1+'Biomass Data Assumptions'!I$112)*(1+'Biomass Data Assumptions'!E$84))*'Prac. Rec. Assumptions'!$B34</f>
        <v>0</v>
      </c>
      <c r="I40" s="16" t="str">
        <f>IF('Conversion Tables'!F37="NA","NA",(E40*'Conversion Tables'!$C37)/'Conversion Tables'!F37)</f>
        <v>NA</v>
      </c>
      <c r="J40" s="16" t="str">
        <f>IF('Conversion Tables'!G37="NA","NA",(F40*'Conversion Tables'!$C37)/'Conversion Tables'!G37)</f>
        <v>NA</v>
      </c>
      <c r="K40" s="16" t="str">
        <f>IF('Conversion Tables'!H37="NA","NA",(G40*'Conversion Tables'!$C37)/'Conversion Tables'!H37)</f>
        <v>NA</v>
      </c>
      <c r="L40" s="16" t="str">
        <f>IF('Conversion Tables'!I37="NA","NA",(H40*'Conversion Tables'!$C37)/'Conversion Tables'!I37)</f>
        <v>NA</v>
      </c>
      <c r="M40" s="16" t="str">
        <f>IF('Conversion Tables'!K37="NA","NA",E40*'Conversion Tables'!K37)</f>
        <v>NA</v>
      </c>
      <c r="N40" s="16" t="str">
        <f>IF('Conversion Tables'!L37="NA","NA",F40*'Conversion Tables'!L37)</f>
        <v>NA</v>
      </c>
      <c r="O40" s="16" t="str">
        <f>IF('Conversion Tables'!M37="NA","NA",G40*'Conversion Tables'!M37)</f>
        <v>NA</v>
      </c>
      <c r="P40" s="16" t="str">
        <f>IF('Conversion Tables'!N37="NA","NA",H40*'Conversion Tables'!N37)</f>
        <v>NA</v>
      </c>
      <c r="Q40" s="27"/>
    </row>
    <row r="41" spans="1:17" x14ac:dyDescent="0.25">
      <c r="A41" s="1065"/>
      <c r="B41" s="17" t="s">
        <v>557</v>
      </c>
      <c r="C41" s="294">
        <f>C126</f>
        <v>1733.0039999999999</v>
      </c>
      <c r="D41" s="299">
        <f>E41*'Conversion Tables'!C38</f>
        <v>0</v>
      </c>
      <c r="E41" s="299">
        <f>C41*'Prac. Rec. Assumptions'!B35</f>
        <v>0</v>
      </c>
      <c r="F41" s="294">
        <f>($C41*(1+'Biomass Data Assumptions'!G$112)*(1+'Biomass Data Assumptions'!C$84))*'Prac. Rec. Assumptions'!$B35</f>
        <v>0</v>
      </c>
      <c r="G41" s="294">
        <f>($C41*(1+'Biomass Data Assumptions'!H$112)*(1+'Biomass Data Assumptions'!D$84))*'Prac. Rec. Assumptions'!$B35</f>
        <v>0</v>
      </c>
      <c r="H41" s="294">
        <f>($C41*(1+'Biomass Data Assumptions'!I$112)*(1+'Biomass Data Assumptions'!E$84))*'Prac. Rec. Assumptions'!$B35</f>
        <v>0</v>
      </c>
      <c r="I41" s="16" t="str">
        <f>IF('Conversion Tables'!F38="NA","NA",(E41*'Conversion Tables'!$C38)/'Conversion Tables'!F38)</f>
        <v>NA</v>
      </c>
      <c r="J41" s="16" t="str">
        <f>IF('Conversion Tables'!G38="NA","NA",(F41*'Conversion Tables'!$C38)/'Conversion Tables'!G38)</f>
        <v>NA</v>
      </c>
      <c r="K41" s="16" t="str">
        <f>IF('Conversion Tables'!H38="NA","NA",(G41*'Conversion Tables'!$C38)/'Conversion Tables'!H38)</f>
        <v>NA</v>
      </c>
      <c r="L41" s="16" t="str">
        <f>IF('Conversion Tables'!I38="NA","NA",(H41*'Conversion Tables'!$C38)/'Conversion Tables'!I38)</f>
        <v>NA</v>
      </c>
      <c r="M41" s="16" t="str">
        <f>IF('Conversion Tables'!K38="NA","NA",E41*'Conversion Tables'!K38)</f>
        <v>NA</v>
      </c>
      <c r="N41" s="16" t="str">
        <f>IF('Conversion Tables'!L38="NA","NA",F41*'Conversion Tables'!L38)</f>
        <v>NA</v>
      </c>
      <c r="O41" s="16" t="str">
        <f>IF('Conversion Tables'!M38="NA","NA",G41*'Conversion Tables'!M38)</f>
        <v>NA</v>
      </c>
      <c r="P41" s="16" t="str">
        <f>IF('Conversion Tables'!N38="NA","NA",H41*'Conversion Tables'!N38)</f>
        <v>NA</v>
      </c>
      <c r="Q41" s="27"/>
    </row>
    <row r="42" spans="1:17" x14ac:dyDescent="0.25">
      <c r="A42" s="1065"/>
      <c r="B42" s="17" t="s">
        <v>558</v>
      </c>
      <c r="C42" s="294">
        <f>C127</f>
        <v>1786.1130000000001</v>
      </c>
      <c r="D42" s="299">
        <f>E42*'Conversion Tables'!C39</f>
        <v>25937.932986</v>
      </c>
      <c r="E42" s="299">
        <f>C42*'Prac. Rec. Assumptions'!B36</f>
        <v>1786.1130000000001</v>
      </c>
      <c r="F42" s="294">
        <f>($C42*(1+'Biomass Data Assumptions'!G$112)*(1+'Biomass Data Assumptions'!C$84))*'Prac. Rec. Assumptions'!$B36</f>
        <v>2033.0431317624148</v>
      </c>
      <c r="G42" s="294">
        <f>($C42*(1+'Biomass Data Assumptions'!H$112)*(1+'Biomass Data Assumptions'!D$84))*'Prac. Rec. Assumptions'!$B36</f>
        <v>2318.303765655608</v>
      </c>
      <c r="H42" s="294">
        <f>($C42*(1+'Biomass Data Assumptions'!I$112)*(1+'Biomass Data Assumptions'!E$84))*'Prac. Rec. Assumptions'!$B36</f>
        <v>2611.5064862545369</v>
      </c>
      <c r="I42" s="16" t="str">
        <f>IF('Conversion Tables'!F39="NA","NA",(E42*'Conversion Tables'!$C39)/'Conversion Tables'!F39)</f>
        <v>NA</v>
      </c>
      <c r="J42" s="16" t="str">
        <f>IF('Conversion Tables'!G39="NA","NA",(F42*'Conversion Tables'!$C39)/'Conversion Tables'!G39)</f>
        <v>NA</v>
      </c>
      <c r="K42" s="16" t="str">
        <f>IF('Conversion Tables'!H39="NA","NA",(G42*'Conversion Tables'!$C39)/'Conversion Tables'!H39)</f>
        <v>NA</v>
      </c>
      <c r="L42" s="16" t="str">
        <f>IF('Conversion Tables'!I39="NA","NA",(H42*'Conversion Tables'!$C39)/'Conversion Tables'!I39)</f>
        <v>NA</v>
      </c>
      <c r="M42" s="16" t="str">
        <f>IF('Conversion Tables'!K39="NA","NA",E42*'Conversion Tables'!K39)</f>
        <v>NA</v>
      </c>
      <c r="N42" s="16" t="str">
        <f>IF('Conversion Tables'!L39="NA","NA",F42*'Conversion Tables'!L39)</f>
        <v>NA</v>
      </c>
      <c r="O42" s="16" t="str">
        <f>IF('Conversion Tables'!M39="NA","NA",G42*'Conversion Tables'!M39)</f>
        <v>NA</v>
      </c>
      <c r="P42" s="16" t="str">
        <f>IF('Conversion Tables'!N39="NA","NA",H42*'Conversion Tables'!N39)</f>
        <v>NA</v>
      </c>
      <c r="Q42" s="27"/>
    </row>
    <row r="43" spans="1:17" x14ac:dyDescent="0.25">
      <c r="A43" s="1065"/>
      <c r="B43" s="9" t="s">
        <v>524</v>
      </c>
      <c r="C43" s="295">
        <f>SUM(C32:C42)</f>
        <v>17501.694093999999</v>
      </c>
      <c r="D43" s="295">
        <f t="shared" ref="D43:P43" si="4">SUM(D31:D42)</f>
        <v>109148.35780879238</v>
      </c>
      <c r="E43" s="295">
        <f t="shared" si="4"/>
        <v>7216.9720915999997</v>
      </c>
      <c r="F43" s="295">
        <f t="shared" si="4"/>
        <v>7800.8930932585045</v>
      </c>
      <c r="G43" s="295">
        <f t="shared" si="4"/>
        <v>8462.8589838521839</v>
      </c>
      <c r="H43" s="295">
        <f t="shared" si="4"/>
        <v>9086.390097059666</v>
      </c>
      <c r="I43" s="19">
        <f t="shared" si="4"/>
        <v>0</v>
      </c>
      <c r="J43" s="19">
        <f t="shared" si="4"/>
        <v>0</v>
      </c>
      <c r="K43" s="19">
        <f t="shared" si="4"/>
        <v>0</v>
      </c>
      <c r="L43" s="19">
        <f t="shared" si="4"/>
        <v>0</v>
      </c>
      <c r="M43" s="19">
        <f t="shared" si="4"/>
        <v>0</v>
      </c>
      <c r="N43" s="19">
        <f t="shared" si="4"/>
        <v>0</v>
      </c>
      <c r="O43" s="19">
        <f t="shared" si="4"/>
        <v>0</v>
      </c>
      <c r="P43" s="19">
        <f t="shared" si="4"/>
        <v>0</v>
      </c>
      <c r="Q43" s="19"/>
    </row>
    <row r="44" spans="1:17" x14ac:dyDescent="0.25">
      <c r="A44" s="8"/>
      <c r="C44" s="296"/>
      <c r="D44" s="296"/>
      <c r="E44" s="296"/>
      <c r="F44" s="296"/>
      <c r="G44" s="296"/>
      <c r="H44" s="296"/>
      <c r="I44" s="28"/>
      <c r="J44" s="28"/>
      <c r="K44" s="28"/>
      <c r="L44" s="28"/>
      <c r="M44" s="28"/>
      <c r="N44" s="28"/>
      <c r="O44" s="28"/>
      <c r="P44" s="28"/>
    </row>
    <row r="45" spans="1:17" x14ac:dyDescent="0.25">
      <c r="A45" s="1064" t="s">
        <v>515</v>
      </c>
      <c r="B45" s="2" t="s">
        <v>510</v>
      </c>
      <c r="C45" s="294"/>
      <c r="D45" s="294"/>
      <c r="E45" s="294"/>
      <c r="F45" s="294"/>
      <c r="G45" s="294"/>
      <c r="H45" s="294"/>
      <c r="I45" s="16"/>
      <c r="J45" s="16"/>
      <c r="K45" s="16"/>
      <c r="L45" s="16"/>
      <c r="M45" s="16"/>
      <c r="N45" s="16"/>
      <c r="O45" s="16"/>
      <c r="P45" s="16"/>
      <c r="Q45" s="7"/>
    </row>
    <row r="46" spans="1:17" x14ac:dyDescent="0.25">
      <c r="A46" s="1064"/>
      <c r="B46" s="12" t="s">
        <v>525</v>
      </c>
      <c r="C46" s="294">
        <f>D77</f>
        <v>4508.16</v>
      </c>
      <c r="D46" s="294">
        <f>E46*'Conversion Tables'!C41</f>
        <v>0</v>
      </c>
      <c r="E46" s="294">
        <f>C46*'Prac. Rec. Assumptions'!B38</f>
        <v>4508.16</v>
      </c>
      <c r="F46" s="294">
        <f>$E46</f>
        <v>4508.16</v>
      </c>
      <c r="G46" s="294">
        <f>$E46</f>
        <v>4508.16</v>
      </c>
      <c r="H46" s="294">
        <f>$E46</f>
        <v>4508.16</v>
      </c>
      <c r="I46" s="16" t="str">
        <f>IF('Conversion Tables'!F41="NA","NA",(E46*'Conversion Tables'!$C41)/'Conversion Tables'!F41)</f>
        <v>NA</v>
      </c>
      <c r="J46" s="16" t="str">
        <f>IF('Conversion Tables'!G41="NA","NA",(F46*'Conversion Tables'!$C41)/'Conversion Tables'!G41)</f>
        <v>NA</v>
      </c>
      <c r="K46" s="16" t="str">
        <f>IF('Conversion Tables'!H41="NA","NA",(G46*'Conversion Tables'!$C41)/'Conversion Tables'!H41)</f>
        <v>NA</v>
      </c>
      <c r="L46" s="16" t="str">
        <f>IF('Conversion Tables'!I41="NA","NA",(H46*'Conversion Tables'!$C41)/'Conversion Tables'!I41)</f>
        <v>NA</v>
      </c>
      <c r="M46" s="16" t="str">
        <f>IF('Conversion Tables'!K41="NA","NA",E46*'Conversion Tables'!K41)</f>
        <v>NA</v>
      </c>
      <c r="N46" s="16" t="str">
        <f>IF('Conversion Tables'!L41="NA","NA",F46*'Conversion Tables'!L41)</f>
        <v>NA</v>
      </c>
      <c r="O46" s="16" t="str">
        <f>IF('Conversion Tables'!M41="NA","NA",G46*'Conversion Tables'!M41)</f>
        <v>NA</v>
      </c>
      <c r="P46" s="16" t="str">
        <f>IF('Conversion Tables'!N41="NA","NA",H46*'Conversion Tables'!N41)</f>
        <v>NA</v>
      </c>
      <c r="Q46" s="15"/>
    </row>
    <row r="47" spans="1:17" x14ac:dyDescent="0.25">
      <c r="A47" s="1065"/>
      <c r="B47" s="2" t="s">
        <v>508</v>
      </c>
      <c r="C47" s="294">
        <f t="shared" ref="C47:C48" si="5">C148</f>
        <v>406.50808000000006</v>
      </c>
      <c r="D47" s="294"/>
      <c r="E47" s="294">
        <f>C47*'Prac. Rec. Assumptions'!B39</f>
        <v>203.25404000000003</v>
      </c>
      <c r="F47" s="294">
        <f>($C47*(1+'Biomass Data Assumptions'!G$112))*'Prac. Rec. Assumptions'!$B39</f>
        <v>211.57654391264788</v>
      </c>
      <c r="G47" s="294">
        <f>($C47*(1+'Biomass Data Assumptions'!H$112))*'Prac. Rec. Assumptions'!$B39</f>
        <v>220.63882595086446</v>
      </c>
      <c r="H47" s="294">
        <f>($C47*(1+'Biomass Data Assumptions'!I$112))*'Prac. Rec. Assumptions'!$B39</f>
        <v>227.29682908098275</v>
      </c>
      <c r="I47" s="16" t="str">
        <f>IF('Conversion Tables'!F42="NA","NA",(E47*'Conversion Tables'!$C42)/'Conversion Tables'!F42)</f>
        <v>NA</v>
      </c>
      <c r="J47" s="16" t="str">
        <f>IF('Conversion Tables'!G42="NA","NA",(F47*'Conversion Tables'!$C42)/'Conversion Tables'!G42)</f>
        <v>NA</v>
      </c>
      <c r="K47" s="16" t="str">
        <f>IF('Conversion Tables'!H42="NA","NA",(G47*'Conversion Tables'!$C42)/'Conversion Tables'!H42)</f>
        <v>NA</v>
      </c>
      <c r="L47" s="16" t="str">
        <f>IF('Conversion Tables'!I42="NA","NA",(H47*'Conversion Tables'!$C42)/'Conversion Tables'!I42)</f>
        <v>NA</v>
      </c>
      <c r="M47" s="16" t="str">
        <f>IF('Conversion Tables'!K42="NA","NA",E47*'Conversion Tables'!K42)</f>
        <v>NA</v>
      </c>
      <c r="N47" s="16" t="str">
        <f>IF('Conversion Tables'!L42="NA","NA",F47*'Conversion Tables'!L42)</f>
        <v>NA</v>
      </c>
      <c r="O47" s="16" t="str">
        <f>IF('Conversion Tables'!M42="NA","NA",G47*'Conversion Tables'!M42)</f>
        <v>NA</v>
      </c>
      <c r="P47" s="16" t="str">
        <f>IF('Conversion Tables'!N42="NA","NA",H47*'Conversion Tables'!N42)</f>
        <v>NA</v>
      </c>
      <c r="Q47" s="7"/>
    </row>
    <row r="48" spans="1:17" x14ac:dyDescent="0.25">
      <c r="A48" s="1065"/>
      <c r="B48" s="1" t="s">
        <v>509</v>
      </c>
      <c r="C48" s="294">
        <f t="shared" si="5"/>
        <v>36.330300999999999</v>
      </c>
      <c r="D48" s="294"/>
      <c r="E48" s="294">
        <f>C48*'Prac. Rec. Assumptions'!B40</f>
        <v>36.330300999999999</v>
      </c>
      <c r="F48" s="294">
        <f>($C48*(1+'Biomass Data Assumptions'!G$112))*'Prac. Rec. Assumptions'!$B40</f>
        <v>37.817892942675158</v>
      </c>
      <c r="G48" s="294">
        <f>($C48*(1+'Biomass Data Assumptions'!H$112))*'Prac. Rec. Assumptions'!$B40</f>
        <v>39.437715280254771</v>
      </c>
      <c r="H48" s="294">
        <f>($C48*(1+'Biomass Data Assumptions'!I$112))*'Prac. Rec. Assumptions'!$B40</f>
        <v>40.627788834394906</v>
      </c>
      <c r="I48" s="16" t="str">
        <f>IF('Conversion Tables'!F43="NA","NA",(E48*'Conversion Tables'!$C43)/'Conversion Tables'!F43)</f>
        <v>NA</v>
      </c>
      <c r="J48" s="16" t="str">
        <f>IF('Conversion Tables'!G43="NA","NA",(F48*'Conversion Tables'!$C43)/'Conversion Tables'!G43)</f>
        <v>NA</v>
      </c>
      <c r="K48" s="16" t="str">
        <f>IF('Conversion Tables'!H43="NA","NA",(G48*'Conversion Tables'!$C43)/'Conversion Tables'!H43)</f>
        <v>NA</v>
      </c>
      <c r="L48" s="16" t="str">
        <f>IF('Conversion Tables'!I43="NA","NA",(H48*'Conversion Tables'!$C43)/'Conversion Tables'!I43)</f>
        <v>NA</v>
      </c>
      <c r="M48" s="16" t="str">
        <f>IF('Conversion Tables'!K43="NA","NA",E48*'Conversion Tables'!K43)</f>
        <v>NA</v>
      </c>
      <c r="N48" s="16" t="str">
        <f>IF('Conversion Tables'!L43="NA","NA",F48*'Conversion Tables'!L43)</f>
        <v>NA</v>
      </c>
      <c r="O48" s="16" t="str">
        <f>IF('Conversion Tables'!M43="NA","NA",G48*'Conversion Tables'!M43)</f>
        <v>NA</v>
      </c>
      <c r="P48" s="16" t="str">
        <f>IF('Conversion Tables'!N43="NA","NA",H48*'Conversion Tables'!N43)</f>
        <v>NA</v>
      </c>
      <c r="Q48" s="7"/>
    </row>
    <row r="49" spans="1:17" x14ac:dyDescent="0.25">
      <c r="A49" s="1065"/>
      <c r="B49" s="9" t="s">
        <v>524</v>
      </c>
      <c r="C49" s="295">
        <f>SUM(C46:C48)</f>
        <v>4950.9983809999994</v>
      </c>
      <c r="D49" s="295">
        <f>SUM(D45:D48)</f>
        <v>0</v>
      </c>
      <c r="E49" s="295">
        <f t="shared" ref="E49:P49" si="6">SUM(E45:E48)</f>
        <v>4747.7443409999996</v>
      </c>
      <c r="F49" s="295">
        <f>SUM(F45:F48)</f>
        <v>4757.5544368553228</v>
      </c>
      <c r="G49" s="295">
        <f>SUM(G45:G48)</f>
        <v>4768.2365412311192</v>
      </c>
      <c r="H49" s="295">
        <f>SUM(H45:H48)</f>
        <v>4776.0846179153777</v>
      </c>
      <c r="I49" s="19">
        <f t="shared" si="6"/>
        <v>0</v>
      </c>
      <c r="J49" s="19">
        <f t="shared" si="6"/>
        <v>0</v>
      </c>
      <c r="K49" s="19">
        <f t="shared" si="6"/>
        <v>0</v>
      </c>
      <c r="L49" s="19">
        <f t="shared" si="6"/>
        <v>0</v>
      </c>
      <c r="M49" s="19">
        <f t="shared" si="6"/>
        <v>0</v>
      </c>
      <c r="N49" s="19">
        <f t="shared" si="6"/>
        <v>0</v>
      </c>
      <c r="O49" s="19">
        <f t="shared" si="6"/>
        <v>0</v>
      </c>
      <c r="P49" s="19">
        <f t="shared" si="6"/>
        <v>0</v>
      </c>
      <c r="Q49" s="19"/>
    </row>
    <row r="50" spans="1:17" x14ac:dyDescent="0.25">
      <c r="A50" s="8"/>
      <c r="C50" s="296"/>
      <c r="D50" s="296"/>
      <c r="E50" s="296"/>
      <c r="F50" s="296"/>
      <c r="G50" s="296"/>
      <c r="H50" s="296"/>
      <c r="I50" s="28"/>
      <c r="J50" s="28"/>
      <c r="K50" s="28"/>
      <c r="L50" s="28"/>
      <c r="M50" s="28"/>
      <c r="N50" s="28"/>
      <c r="O50" s="28"/>
      <c r="P50" s="28"/>
    </row>
    <row r="51" spans="1:17" x14ac:dyDescent="0.25">
      <c r="A51" s="1200" t="s">
        <v>517</v>
      </c>
      <c r="B51" s="2" t="s">
        <v>505</v>
      </c>
      <c r="C51" s="294"/>
      <c r="D51" s="294"/>
      <c r="E51" s="294"/>
      <c r="F51" s="294"/>
      <c r="G51" s="294"/>
      <c r="H51" s="294"/>
      <c r="I51" s="16"/>
      <c r="J51" s="16"/>
      <c r="K51" s="16"/>
      <c r="L51" s="16"/>
      <c r="M51" s="16"/>
      <c r="N51" s="16"/>
      <c r="O51" s="16"/>
      <c r="P51" s="16"/>
      <c r="Q51" s="7"/>
    </row>
    <row r="52" spans="1:17" x14ac:dyDescent="0.25">
      <c r="A52" s="1201"/>
      <c r="B52" s="12" t="s">
        <v>535</v>
      </c>
      <c r="C52" s="294">
        <f>G97</f>
        <v>2908.3083200000001</v>
      </c>
      <c r="D52" s="299">
        <f>E52*'Conversion Tables'!C45</f>
        <v>8587.6528072960009</v>
      </c>
      <c r="E52" s="299">
        <f>C52*'Prac. Rec. Assumptions'!B42</f>
        <v>581.66166400000009</v>
      </c>
      <c r="F52" s="294">
        <f t="shared" ref="F52:H59" si="7">$E52</f>
        <v>581.66166400000009</v>
      </c>
      <c r="G52" s="294">
        <f t="shared" si="7"/>
        <v>581.66166400000009</v>
      </c>
      <c r="H52" s="294">
        <f t="shared" si="7"/>
        <v>581.66166400000009</v>
      </c>
      <c r="I52" s="16" t="str">
        <f>IF('Conversion Tables'!F45="NA","NA",(E52*'Conversion Tables'!$C45)/'Conversion Tables'!F45)</f>
        <v>NA</v>
      </c>
      <c r="J52" s="16" t="str">
        <f>IF('Conversion Tables'!G45="NA","NA",(F52*'Conversion Tables'!$C45)/'Conversion Tables'!G45)</f>
        <v>NA</v>
      </c>
      <c r="K52" s="16" t="str">
        <f>IF('Conversion Tables'!H45="NA","NA",(G52*'Conversion Tables'!$C45)/'Conversion Tables'!H45)</f>
        <v>NA</v>
      </c>
      <c r="L52" s="16" t="str">
        <f>IF('Conversion Tables'!I45="NA","NA",(H52*'Conversion Tables'!$C45)/'Conversion Tables'!I45)</f>
        <v>NA</v>
      </c>
      <c r="M52" s="16" t="str">
        <f>IF('Conversion Tables'!K45="NA","NA",E52*'Conversion Tables'!K45)</f>
        <v>NA</v>
      </c>
      <c r="N52" s="16" t="str">
        <f>IF('Conversion Tables'!L45="NA","NA",F52*'Conversion Tables'!L45)</f>
        <v>NA</v>
      </c>
      <c r="O52" s="16" t="str">
        <f>IF('Conversion Tables'!M45="NA","NA",G52*'Conversion Tables'!M45)</f>
        <v>NA</v>
      </c>
      <c r="P52" s="16" t="str">
        <f>IF('Conversion Tables'!N45="NA","NA",H52*'Conversion Tables'!N45)</f>
        <v>NA</v>
      </c>
      <c r="Q52" s="27"/>
    </row>
    <row r="53" spans="1:17" x14ac:dyDescent="0.25">
      <c r="A53" s="1201"/>
      <c r="B53" s="12" t="s">
        <v>539</v>
      </c>
      <c r="C53" s="294">
        <f>G104</f>
        <v>13416.337849999998</v>
      </c>
      <c r="D53" s="299">
        <f>E53*'Conversion Tables'!C46</f>
        <v>118847.28721043997</v>
      </c>
      <c r="E53" s="299">
        <f>C53*'Prac. Rec. Assumptions'!B43</f>
        <v>8049.8027099999981</v>
      </c>
      <c r="F53" s="294">
        <f t="shared" si="7"/>
        <v>8049.8027099999981</v>
      </c>
      <c r="G53" s="294">
        <f t="shared" si="7"/>
        <v>8049.8027099999981</v>
      </c>
      <c r="H53" s="294">
        <f t="shared" si="7"/>
        <v>8049.8027099999981</v>
      </c>
      <c r="I53" s="16" t="str">
        <f>IF('Conversion Tables'!F46="NA","NA",(E53*'Conversion Tables'!$C46)/'Conversion Tables'!F46)</f>
        <v>NA</v>
      </c>
      <c r="J53" s="16" t="str">
        <f>IF('Conversion Tables'!G46="NA","NA",(F53*'Conversion Tables'!$C46)/'Conversion Tables'!G46)</f>
        <v>NA</v>
      </c>
      <c r="K53" s="16" t="str">
        <f>IF('Conversion Tables'!H46="NA","NA",(G53*'Conversion Tables'!$C46)/'Conversion Tables'!H46)</f>
        <v>NA</v>
      </c>
      <c r="L53" s="16" t="str">
        <f>IF('Conversion Tables'!I46="NA","NA",(H53*'Conversion Tables'!$C46)/'Conversion Tables'!I46)</f>
        <v>NA</v>
      </c>
      <c r="M53" s="16" t="str">
        <f>IF('Conversion Tables'!K46="NA","NA",E53*'Conversion Tables'!K46)</f>
        <v>NA</v>
      </c>
      <c r="N53" s="16" t="str">
        <f>IF('Conversion Tables'!L46="NA","NA",F53*'Conversion Tables'!L46)</f>
        <v>NA</v>
      </c>
      <c r="O53" s="16" t="str">
        <f>IF('Conversion Tables'!M46="NA","NA",G53*'Conversion Tables'!M46)</f>
        <v>NA</v>
      </c>
      <c r="P53" s="16" t="str">
        <f>IF('Conversion Tables'!N46="NA","NA",H53*'Conversion Tables'!N46)</f>
        <v>NA</v>
      </c>
      <c r="Q53" s="27"/>
    </row>
    <row r="54" spans="1:17" x14ac:dyDescent="0.25">
      <c r="A54" s="1201"/>
      <c r="B54" s="12" t="s">
        <v>545</v>
      </c>
      <c r="C54" s="294">
        <f>G106</f>
        <v>6517.3551375000006</v>
      </c>
      <c r="D54" s="299">
        <f>E54*'Conversion Tables'!C47</f>
        <v>57733.338750030001</v>
      </c>
      <c r="E54" s="299">
        <f>C54*'Prac. Rec. Assumptions'!B44</f>
        <v>3910.4130825000002</v>
      </c>
      <c r="F54" s="294">
        <f t="shared" si="7"/>
        <v>3910.4130825000002</v>
      </c>
      <c r="G54" s="294">
        <f t="shared" si="7"/>
        <v>3910.4130825000002</v>
      </c>
      <c r="H54" s="294">
        <f t="shared" si="7"/>
        <v>3910.4130825000002</v>
      </c>
      <c r="I54" s="16" t="str">
        <f>IF('Conversion Tables'!F47="NA","NA",(E54*'Conversion Tables'!$C47)/'Conversion Tables'!F47)</f>
        <v>NA</v>
      </c>
      <c r="J54" s="16" t="str">
        <f>IF('Conversion Tables'!G47="NA","NA",(F54*'Conversion Tables'!$C47)/'Conversion Tables'!G47)</f>
        <v>NA</v>
      </c>
      <c r="K54" s="16" t="str">
        <f>IF('Conversion Tables'!H47="NA","NA",(G54*'Conversion Tables'!$C47)/'Conversion Tables'!H47)</f>
        <v>NA</v>
      </c>
      <c r="L54" s="16" t="str">
        <f>IF('Conversion Tables'!I47="NA","NA",(H54*'Conversion Tables'!$C47)/'Conversion Tables'!I47)</f>
        <v>NA</v>
      </c>
      <c r="M54" s="16" t="str">
        <f>IF('Conversion Tables'!K47="NA","NA",E54*'Conversion Tables'!K47)</f>
        <v>NA</v>
      </c>
      <c r="N54" s="16" t="str">
        <f>IF('Conversion Tables'!L47="NA","NA",F54*'Conversion Tables'!L47)</f>
        <v>NA</v>
      </c>
      <c r="O54" s="16" t="str">
        <f>IF('Conversion Tables'!M47="NA","NA",G54*'Conversion Tables'!M47)</f>
        <v>NA</v>
      </c>
      <c r="P54" s="16" t="str">
        <f>IF('Conversion Tables'!N47="NA","NA",H54*'Conversion Tables'!N47)</f>
        <v>NA</v>
      </c>
      <c r="Q54" s="27"/>
    </row>
    <row r="55" spans="1:17" x14ac:dyDescent="0.25">
      <c r="A55" s="1201"/>
      <c r="B55" s="12" t="s">
        <v>546</v>
      </c>
      <c r="C55" s="294">
        <f>G108</f>
        <v>429.55937500000005</v>
      </c>
      <c r="D55" s="299">
        <f>E55*'Conversion Tables'!C48</f>
        <v>1268.4029225000002</v>
      </c>
      <c r="E55" s="299">
        <f>C55*'Prac. Rec. Assumptions'!B45</f>
        <v>85.911875000000009</v>
      </c>
      <c r="F55" s="294">
        <f t="shared" si="7"/>
        <v>85.911875000000009</v>
      </c>
      <c r="G55" s="294">
        <f t="shared" si="7"/>
        <v>85.911875000000009</v>
      </c>
      <c r="H55" s="294">
        <f t="shared" si="7"/>
        <v>85.911875000000009</v>
      </c>
      <c r="I55" s="16" t="str">
        <f>IF('Conversion Tables'!F48="NA","NA",(E55*'Conversion Tables'!$C48)/'Conversion Tables'!F48)</f>
        <v>NA</v>
      </c>
      <c r="J55" s="16" t="str">
        <f>IF('Conversion Tables'!G48="NA","NA",(F55*'Conversion Tables'!$C48)/'Conversion Tables'!G48)</f>
        <v>NA</v>
      </c>
      <c r="K55" s="16" t="str">
        <f>IF('Conversion Tables'!H48="NA","NA",(G55*'Conversion Tables'!$C48)/'Conversion Tables'!H48)</f>
        <v>NA</v>
      </c>
      <c r="L55" s="16" t="str">
        <f>IF('Conversion Tables'!I48="NA","NA",(H55*'Conversion Tables'!$C48)/'Conversion Tables'!I48)</f>
        <v>NA</v>
      </c>
      <c r="M55" s="16" t="str">
        <f>IF('Conversion Tables'!K48="NA","NA",E55*'Conversion Tables'!K48)</f>
        <v>NA</v>
      </c>
      <c r="N55" s="16" t="str">
        <f>IF('Conversion Tables'!L48="NA","NA",F55*'Conversion Tables'!L48)</f>
        <v>NA</v>
      </c>
      <c r="O55" s="16" t="str">
        <f>IF('Conversion Tables'!M48="NA","NA",G55*'Conversion Tables'!M48)</f>
        <v>NA</v>
      </c>
      <c r="P55" s="16" t="str">
        <f>IF('Conversion Tables'!N48="NA","NA",H55*'Conversion Tables'!N48)</f>
        <v>NA</v>
      </c>
      <c r="Q55" s="27"/>
    </row>
    <row r="56" spans="1:17" x14ac:dyDescent="0.25">
      <c r="A56" s="1201"/>
      <c r="B56" s="12" t="s">
        <v>547</v>
      </c>
      <c r="C56" s="294">
        <f>G110</f>
        <v>283.50462500000003</v>
      </c>
      <c r="D56" s="299">
        <f>E56*'Conversion Tables'!C49</f>
        <v>837.13245670000015</v>
      </c>
      <c r="E56" s="299">
        <f>C56*'Prac. Rec. Assumptions'!B46</f>
        <v>56.700925000000012</v>
      </c>
      <c r="F56" s="294">
        <f t="shared" si="7"/>
        <v>56.700925000000012</v>
      </c>
      <c r="G56" s="294">
        <f t="shared" si="7"/>
        <v>56.700925000000012</v>
      </c>
      <c r="H56" s="294">
        <f t="shared" si="7"/>
        <v>56.700925000000012</v>
      </c>
      <c r="I56" s="16" t="str">
        <f>IF('Conversion Tables'!F49="NA","NA",(E56*'Conversion Tables'!$C49)/'Conversion Tables'!F49)</f>
        <v>NA</v>
      </c>
      <c r="J56" s="16" t="str">
        <f>IF('Conversion Tables'!G49="NA","NA",(F56*'Conversion Tables'!$C49)/'Conversion Tables'!G49)</f>
        <v>NA</v>
      </c>
      <c r="K56" s="16" t="str">
        <f>IF('Conversion Tables'!H49="NA","NA",(G56*'Conversion Tables'!$C49)/'Conversion Tables'!H49)</f>
        <v>NA</v>
      </c>
      <c r="L56" s="16" t="str">
        <f>IF('Conversion Tables'!I49="NA","NA",(H56*'Conversion Tables'!$C49)/'Conversion Tables'!I49)</f>
        <v>NA</v>
      </c>
      <c r="M56" s="16" t="str">
        <f>IF('Conversion Tables'!K49="NA","NA",E56*'Conversion Tables'!K49)</f>
        <v>NA</v>
      </c>
      <c r="N56" s="16" t="str">
        <f>IF('Conversion Tables'!L49="NA","NA",F56*'Conversion Tables'!L49)</f>
        <v>NA</v>
      </c>
      <c r="O56" s="16" t="str">
        <f>IF('Conversion Tables'!M49="NA","NA",G56*'Conversion Tables'!M49)</f>
        <v>NA</v>
      </c>
      <c r="P56" s="16" t="str">
        <f>IF('Conversion Tables'!N49="NA","NA",H56*'Conversion Tables'!N49)</f>
        <v>NA</v>
      </c>
      <c r="Q56" s="27"/>
    </row>
    <row r="57" spans="1:17" x14ac:dyDescent="0.25">
      <c r="A57" s="1201"/>
      <c r="B57" s="133" t="s">
        <v>605</v>
      </c>
      <c r="C57" s="294">
        <f>G115</f>
        <v>288.20400000000001</v>
      </c>
      <c r="D57" s="299">
        <f>E57*'Conversion Tables'!C50</f>
        <v>2127.5219280000001</v>
      </c>
      <c r="E57" s="299">
        <f>C57*'Prac. Rec. Assumptions'!B47</f>
        <v>144.102</v>
      </c>
      <c r="F57" s="294">
        <f t="shared" si="7"/>
        <v>144.102</v>
      </c>
      <c r="G57" s="294">
        <f t="shared" si="7"/>
        <v>144.102</v>
      </c>
      <c r="H57" s="294">
        <f t="shared" si="7"/>
        <v>144.102</v>
      </c>
      <c r="I57" s="16" t="str">
        <f>IF('Conversion Tables'!F50="NA","NA",(E57*'Conversion Tables'!$C50)/'Conversion Tables'!F50)</f>
        <v>NA</v>
      </c>
      <c r="J57" s="16" t="str">
        <f>IF('Conversion Tables'!G50="NA","NA",(F57*'Conversion Tables'!$C50)/'Conversion Tables'!G50)</f>
        <v>NA</v>
      </c>
      <c r="K57" s="16" t="str">
        <f>IF('Conversion Tables'!H50="NA","NA",(G57*'Conversion Tables'!$C50)/'Conversion Tables'!H50)</f>
        <v>NA</v>
      </c>
      <c r="L57" s="16" t="str">
        <f>IF('Conversion Tables'!I50="NA","NA",(H57*'Conversion Tables'!$C50)/'Conversion Tables'!I50)</f>
        <v>NA</v>
      </c>
      <c r="M57" s="16" t="str">
        <f>IF('Conversion Tables'!K50="NA","NA",E57*'Conversion Tables'!K50)</f>
        <v>NA</v>
      </c>
      <c r="N57" s="16" t="str">
        <f>IF('Conversion Tables'!L50="NA","NA",F57*'Conversion Tables'!L50)</f>
        <v>NA</v>
      </c>
      <c r="O57" s="16" t="str">
        <f>IF('Conversion Tables'!M50="NA","NA",G57*'Conversion Tables'!M50)</f>
        <v>NA</v>
      </c>
      <c r="P57" s="16" t="str">
        <f>IF('Conversion Tables'!N50="NA","NA",H57*'Conversion Tables'!N50)</f>
        <v>NA</v>
      </c>
      <c r="Q57" s="27"/>
    </row>
    <row r="58" spans="1:17" x14ac:dyDescent="0.25">
      <c r="A58" s="1201"/>
      <c r="B58" s="12" t="s">
        <v>551</v>
      </c>
      <c r="C58" s="294">
        <f>G117</f>
        <v>9464.4956249999996</v>
      </c>
      <c r="D58" s="299">
        <f>E58*'Conversion Tables'!C51</f>
        <v>113573.94749999999</v>
      </c>
      <c r="E58" s="299">
        <f>C58*'Prac. Rec. Assumptions'!B48</f>
        <v>9464.4956249999996</v>
      </c>
      <c r="F58" s="294">
        <f t="shared" si="7"/>
        <v>9464.4956249999996</v>
      </c>
      <c r="G58" s="294">
        <f t="shared" si="7"/>
        <v>9464.4956249999996</v>
      </c>
      <c r="H58" s="294">
        <f t="shared" si="7"/>
        <v>9464.4956249999996</v>
      </c>
      <c r="I58" s="16" t="str">
        <f>IF('Conversion Tables'!F51="NA","NA",(E58*'Conversion Tables'!$C51)/'Conversion Tables'!F51)</f>
        <v>NA</v>
      </c>
      <c r="J58" s="16" t="str">
        <f>IF('Conversion Tables'!G51="NA","NA",(F58*'Conversion Tables'!$C51)/'Conversion Tables'!G51)</f>
        <v>NA</v>
      </c>
      <c r="K58" s="16" t="str">
        <f>IF('Conversion Tables'!H51="NA","NA",(G58*'Conversion Tables'!$C51)/'Conversion Tables'!H51)</f>
        <v>NA</v>
      </c>
      <c r="L58" s="16" t="str">
        <f>IF('Conversion Tables'!I51="NA","NA",(H58*'Conversion Tables'!$C51)/'Conversion Tables'!I51)</f>
        <v>NA</v>
      </c>
      <c r="M58" s="16" t="str">
        <f>IF('Conversion Tables'!K51="NA","NA",E58*'Conversion Tables'!K51)</f>
        <v>NA</v>
      </c>
      <c r="N58" s="16" t="str">
        <f>IF('Conversion Tables'!L51="NA","NA",F58*'Conversion Tables'!L51)</f>
        <v>NA</v>
      </c>
      <c r="O58" s="16" t="str">
        <f>IF('Conversion Tables'!M51="NA","NA",G58*'Conversion Tables'!M51)</f>
        <v>NA</v>
      </c>
      <c r="P58" s="16" t="str">
        <f>IF('Conversion Tables'!N51="NA","NA",H58*'Conversion Tables'!N51)</f>
        <v>NA</v>
      </c>
      <c r="Q58" s="27"/>
    </row>
    <row r="59" spans="1:17" x14ac:dyDescent="0.25">
      <c r="A59" s="1201"/>
      <c r="B59" s="12" t="s">
        <v>552</v>
      </c>
      <c r="C59" s="294">
        <f>G119</f>
        <v>0</v>
      </c>
      <c r="D59" s="299">
        <f>E59*'Conversion Tables'!C52</f>
        <v>0</v>
      </c>
      <c r="E59" s="299">
        <f>C59*'Prac. Rec. Assumptions'!B49</f>
        <v>0</v>
      </c>
      <c r="F59" s="294">
        <f t="shared" si="7"/>
        <v>0</v>
      </c>
      <c r="G59" s="294">
        <f t="shared" si="7"/>
        <v>0</v>
      </c>
      <c r="H59" s="294">
        <f t="shared" si="7"/>
        <v>0</v>
      </c>
      <c r="I59" s="16" t="str">
        <f>IF('Conversion Tables'!F52="NA","NA",(E59*'Conversion Tables'!$C52)/'Conversion Tables'!F52)</f>
        <v>NA</v>
      </c>
      <c r="J59" s="16" t="str">
        <f>IF('Conversion Tables'!G52="NA","NA",(F59*'Conversion Tables'!$C52)/'Conversion Tables'!G52)</f>
        <v>NA</v>
      </c>
      <c r="K59" s="16" t="str">
        <f>IF('Conversion Tables'!H52="NA","NA",(G59*'Conversion Tables'!$C52)/'Conversion Tables'!H52)</f>
        <v>NA</v>
      </c>
      <c r="L59" s="16" t="str">
        <f>IF('Conversion Tables'!I52="NA","NA",(H59*'Conversion Tables'!$C52)/'Conversion Tables'!I52)</f>
        <v>NA</v>
      </c>
      <c r="M59" s="16" t="str">
        <f>IF('Conversion Tables'!K52="NA","NA",E59*'Conversion Tables'!K52)</f>
        <v>NA</v>
      </c>
      <c r="N59" s="16" t="str">
        <f>IF('Conversion Tables'!L52="NA","NA",F59*'Conversion Tables'!L52)</f>
        <v>NA</v>
      </c>
      <c r="O59" s="16" t="str">
        <f>IF('Conversion Tables'!M52="NA","NA",G59*'Conversion Tables'!M52)</f>
        <v>NA</v>
      </c>
      <c r="P59" s="16" t="str">
        <f>IF('Conversion Tables'!N52="NA","NA",H59*'Conversion Tables'!N52)</f>
        <v>NA</v>
      </c>
      <c r="Q59" s="27"/>
    </row>
    <row r="60" spans="1:17" x14ac:dyDescent="0.25">
      <c r="A60" s="1202"/>
      <c r="B60" s="129" t="s">
        <v>305</v>
      </c>
      <c r="C60" s="294">
        <f>'Biomass Data Assumptions'!AE27</f>
        <v>156.08709600000009</v>
      </c>
      <c r="D60" s="299">
        <f>E60*'Conversion Tables'!C53</f>
        <v>1873.0451520000011</v>
      </c>
      <c r="E60" s="299">
        <f>C60*'Prac. Rec. Assumptions'!B50</f>
        <v>156.08709600000009</v>
      </c>
      <c r="F60" s="294">
        <f>($C60*(1+'Biomass Data Assumptions'!G$112*(4/5)))*'Prac. Rec. Assumptions'!$B50</f>
        <v>161.20004909918117</v>
      </c>
      <c r="G60" s="294">
        <f>($C60*(1+'Biomass Data Assumptions'!H$112*(9/10)))*'Prac. Rec. Assumptions'!$B50</f>
        <v>168.10253578307564</v>
      </c>
      <c r="H60" s="294">
        <f>($C60*(1+'Biomass Data Assumptions'!I$112*(14/15)))*'Prac. Rec. Assumptions'!$B50</f>
        <v>173.31964163057333</v>
      </c>
      <c r="I60" s="16" t="str">
        <f>IF('Conversion Tables'!F53="NA","NA",(E60*'Conversion Tables'!$C53)/'Conversion Tables'!F53)</f>
        <v>NA</v>
      </c>
      <c r="J60" s="16" t="str">
        <f>IF('Conversion Tables'!G53="NA","NA",(F60*'Conversion Tables'!$C53)/'Conversion Tables'!G53)</f>
        <v>NA</v>
      </c>
      <c r="K60" s="16" t="str">
        <f>IF('Conversion Tables'!H53="NA","NA",(G60*'Conversion Tables'!$C53)/'Conversion Tables'!H53)</f>
        <v>NA</v>
      </c>
      <c r="L60" s="16" t="str">
        <f>IF('Conversion Tables'!I53="NA","NA",(H60*'Conversion Tables'!$C53)/'Conversion Tables'!I53)</f>
        <v>NA</v>
      </c>
      <c r="M60" s="16" t="str">
        <f>IF('Conversion Tables'!K53="NA","NA",E60*'Conversion Tables'!K53)</f>
        <v>NA</v>
      </c>
      <c r="N60" s="16" t="str">
        <f>IF('Conversion Tables'!L53="NA","NA",F60*'Conversion Tables'!L53)</f>
        <v>NA</v>
      </c>
      <c r="O60" s="16" t="str">
        <f>IF('Conversion Tables'!M53="NA","NA",G60*'Conversion Tables'!M53)</f>
        <v>NA</v>
      </c>
      <c r="P60" s="16" t="str">
        <f>IF('Conversion Tables'!N53="NA","NA",H60*'Conversion Tables'!N53)</f>
        <v>NA</v>
      </c>
      <c r="Q60" s="7"/>
    </row>
    <row r="61" spans="1:17" x14ac:dyDescent="0.25">
      <c r="A61" s="1202"/>
      <c r="B61" s="9" t="s">
        <v>257</v>
      </c>
      <c r="C61" s="295">
        <f>SUM(C52:C60)</f>
        <v>33463.852028500005</v>
      </c>
      <c r="D61" s="295">
        <f>SUM(D52:D60)</f>
        <v>304848.32872696593</v>
      </c>
      <c r="E61" s="295">
        <f t="shared" ref="E61:P61" si="8">SUM(E52:E60)</f>
        <v>22449.174977499995</v>
      </c>
      <c r="F61" s="295">
        <f>SUM(F52:F60)</f>
        <v>22454.287930599177</v>
      </c>
      <c r="G61" s="295">
        <f>SUM(G52:G60)</f>
        <v>22461.190417283073</v>
      </c>
      <c r="H61" s="295">
        <f>SUM(H52:H60)</f>
        <v>22466.407523130569</v>
      </c>
      <c r="I61" s="19">
        <f t="shared" si="8"/>
        <v>0</v>
      </c>
      <c r="J61" s="19">
        <f t="shared" si="8"/>
        <v>0</v>
      </c>
      <c r="K61" s="19">
        <f t="shared" si="8"/>
        <v>0</v>
      </c>
      <c r="L61" s="19">
        <f t="shared" si="8"/>
        <v>0</v>
      </c>
      <c r="M61" s="19">
        <f t="shared" si="8"/>
        <v>0</v>
      </c>
      <c r="N61" s="19">
        <f t="shared" si="8"/>
        <v>0</v>
      </c>
      <c r="O61" s="19">
        <f t="shared" si="8"/>
        <v>0</v>
      </c>
      <c r="P61" s="19">
        <f t="shared" si="8"/>
        <v>0</v>
      </c>
      <c r="Q61" s="7"/>
    </row>
    <row r="62" spans="1:17" x14ac:dyDescent="0.25">
      <c r="A62" s="1202"/>
      <c r="B62" s="7" t="s">
        <v>256</v>
      </c>
      <c r="C62" s="298" t="s">
        <v>251</v>
      </c>
      <c r="D62" s="13"/>
      <c r="E62" s="298" t="s">
        <v>251</v>
      </c>
      <c r="F62" s="298"/>
      <c r="G62" s="298"/>
      <c r="H62" s="298"/>
      <c r="I62" s="7"/>
      <c r="J62" s="7"/>
      <c r="K62" s="7"/>
      <c r="L62" s="7"/>
      <c r="M62" s="7"/>
      <c r="N62" s="7"/>
      <c r="O62" s="7"/>
      <c r="P62" s="7"/>
      <c r="Q62" s="7"/>
    </row>
    <row r="63" spans="1:17" x14ac:dyDescent="0.25">
      <c r="A63" s="1203"/>
      <c r="B63" s="133" t="s">
        <v>304</v>
      </c>
      <c r="C63" s="294">
        <f>'Biomass Data Assumptions'!AB27</f>
        <v>7.8599100000000011</v>
      </c>
      <c r="D63" s="300">
        <f>E63*'Conversion Tables'!C55</f>
        <v>4865.2842900000005</v>
      </c>
      <c r="E63" s="299">
        <f>C63*'Prac. Rec. Assumptions'!B51</f>
        <v>7.8599100000000011</v>
      </c>
      <c r="F63" s="294">
        <f>($C63*(1+'Biomass Data Assumptions'!G$112*(4/5)))*'Prac. Rec. Assumptions'!$B51</f>
        <v>8.1173774795268443</v>
      </c>
      <c r="G63" s="294">
        <f>($C63*(1+'Biomass Data Assumptions'!H$112*(9/10)))*'Prac. Rec. Assumptions'!$B51</f>
        <v>8.4649585768880815</v>
      </c>
      <c r="H63" s="294">
        <f>($C63*(1+'Biomass Data Assumptions'!I$112*(14/15)))*'Prac. Rec. Assumptions'!$B51</f>
        <v>8.7276707643312115</v>
      </c>
      <c r="I63" s="16" t="str">
        <f>IF('Conversion Tables'!F55="NA","NA",(E63*'Conversion Tables'!$C55)/'Conversion Tables'!F55)</f>
        <v>NA</v>
      </c>
      <c r="J63" s="16" t="str">
        <f>IF('Conversion Tables'!G55="NA","NA",(F63*'Conversion Tables'!$C55)/'Conversion Tables'!G55)</f>
        <v>NA</v>
      </c>
      <c r="K63" s="16" t="str">
        <f>IF('Conversion Tables'!H55="NA","NA",(G63*'Conversion Tables'!$C55)/'Conversion Tables'!H55)</f>
        <v>NA</v>
      </c>
      <c r="L63" s="16" t="str">
        <f>IF('Conversion Tables'!I55="NA","NA",(H63*'Conversion Tables'!$C55)/'Conversion Tables'!I55)</f>
        <v>NA</v>
      </c>
      <c r="M63" s="16" t="str">
        <f>IF('Conversion Tables'!K55="NA","NA",E63*'Conversion Tables'!K55)</f>
        <v>NA</v>
      </c>
      <c r="N63" s="16" t="str">
        <f>IF('Conversion Tables'!L55="NA","NA",F63*'Conversion Tables'!L55)</f>
        <v>NA</v>
      </c>
      <c r="O63" s="16" t="str">
        <f>IF('Conversion Tables'!M55="NA","NA",G63*'Conversion Tables'!M55)</f>
        <v>NA</v>
      </c>
      <c r="P63" s="16" t="str">
        <f>IF('Conversion Tables'!N55="NA","NA",H63*'Conversion Tables'!N55)</f>
        <v>NA</v>
      </c>
      <c r="Q63" s="7"/>
    </row>
    <row r="64" spans="1:17" x14ac:dyDescent="0.25">
      <c r="A64" s="1204"/>
      <c r="B64" s="17" t="s">
        <v>512</v>
      </c>
      <c r="C64" s="294">
        <f>'Biomass Data Assumptions'!X27</f>
        <v>93.632656999999995</v>
      </c>
      <c r="D64" s="300">
        <f>E64*'Conversion Tables'!C56</f>
        <v>47378.124442</v>
      </c>
      <c r="E64" s="299">
        <f>C64*'Prac. Rec. Assumptions'!B52</f>
        <v>93.632656999999995</v>
      </c>
      <c r="F64" s="545">
        <f>($C64*(1+'Biomass Data Assumptions'!G$112*(3/5))*(1+('Biomass Data Assumptions'!C$82-((1+'Biomass Data Assumptions'!$B$82)^2 - 1))))*'Prac. Rec. Assumptions'!$B52</f>
        <v>95.893927733954342</v>
      </c>
      <c r="G64" s="545">
        <f>($C64*(1+'Biomass Data Assumptions'!H$112*(4/5))*(1+('Biomass Data Assumptions'!D$82-((1+'Biomass Data Assumptions'!$B$82)^2 - 1))))*'Prac. Rec. Assumptions'!$B52</f>
        <v>99.930922332088855</v>
      </c>
      <c r="H64" s="545">
        <f>($C64*(1+'Biomass Data Assumptions'!I$112*(13/15))*(1+('Biomass Data Assumptions'!E$82-((1+'Biomass Data Assumptions'!$B$82)^2 - 1))))*'Prac. Rec. Assumptions'!$B52</f>
        <v>103.04954612729576</v>
      </c>
      <c r="I64" s="16" t="str">
        <f>IF('Conversion Tables'!F56="NA","NA",(E64*'Conversion Tables'!$C56)/'Conversion Tables'!F56)</f>
        <v>NA</v>
      </c>
      <c r="J64" s="16" t="str">
        <f>IF('Conversion Tables'!G56="NA","NA",(F64*'Conversion Tables'!$C56)/'Conversion Tables'!G56)</f>
        <v>NA</v>
      </c>
      <c r="K64" s="16" t="str">
        <f>IF('Conversion Tables'!H56="NA","NA",(G64*'Conversion Tables'!$C56)/'Conversion Tables'!H56)</f>
        <v>NA</v>
      </c>
      <c r="L64" s="16" t="str">
        <f>IF('Conversion Tables'!I56="NA","NA",(H64*'Conversion Tables'!$C56)/'Conversion Tables'!I56)</f>
        <v>NA</v>
      </c>
      <c r="M64" s="16" t="str">
        <f>IF('Conversion Tables'!K56="NA","NA",E64*'Conversion Tables'!K56)</f>
        <v>NA</v>
      </c>
      <c r="N64" s="16" t="str">
        <f>IF('Conversion Tables'!L56="NA","NA",F64*'Conversion Tables'!L56)</f>
        <v>NA</v>
      </c>
      <c r="O64" s="16" t="str">
        <f>IF('Conversion Tables'!M56="NA","NA",G64*'Conversion Tables'!M56)</f>
        <v>NA</v>
      </c>
      <c r="P64" s="16" t="str">
        <f>IF('Conversion Tables'!N56="NA","NA",H64*'Conversion Tables'!N56)</f>
        <v>NA</v>
      </c>
      <c r="Q64" s="7"/>
    </row>
    <row r="65" spans="1:19" x14ac:dyDescent="0.25">
      <c r="A65" s="1204"/>
      <c r="B65" s="9" t="s">
        <v>248</v>
      </c>
      <c r="C65" s="295">
        <f>SUM(C63:C64)</f>
        <v>101.49256699999999</v>
      </c>
      <c r="D65" s="295">
        <f>SUM(D63:D64)</f>
        <v>52243.408732000004</v>
      </c>
      <c r="E65" s="295">
        <f t="shared" ref="E65:P65" si="9">SUM(E63:E64)</f>
        <v>101.49256699999999</v>
      </c>
      <c r="F65" s="295">
        <f>SUM(F63:F64)</f>
        <v>104.01130521348119</v>
      </c>
      <c r="G65" s="295">
        <f>SUM(G63:G64)</f>
        <v>108.39588090897693</v>
      </c>
      <c r="H65" s="295">
        <f>SUM(H63:H64)</f>
        <v>111.77721689162696</v>
      </c>
      <c r="I65" s="19">
        <f t="shared" si="9"/>
        <v>0</v>
      </c>
      <c r="J65" s="19">
        <f t="shared" si="9"/>
        <v>0</v>
      </c>
      <c r="K65" s="19">
        <f t="shared" si="9"/>
        <v>0</v>
      </c>
      <c r="L65" s="19">
        <f t="shared" si="9"/>
        <v>0</v>
      </c>
      <c r="M65" s="19">
        <f t="shared" si="9"/>
        <v>0</v>
      </c>
      <c r="N65" s="19">
        <f t="shared" si="9"/>
        <v>0</v>
      </c>
      <c r="O65" s="19">
        <f t="shared" si="9"/>
        <v>0</v>
      </c>
      <c r="P65" s="19">
        <f t="shared" si="9"/>
        <v>0</v>
      </c>
      <c r="Q65" s="19">
        <f>SUM(Q51:Q64)</f>
        <v>0</v>
      </c>
    </row>
    <row r="66" spans="1:19" x14ac:dyDescent="0.25">
      <c r="A66" s="1204"/>
      <c r="B66" s="9"/>
      <c r="C66" s="295"/>
      <c r="D66" s="295"/>
      <c r="E66" s="295"/>
      <c r="F66" s="295"/>
      <c r="G66" s="295"/>
      <c r="H66" s="295"/>
      <c r="I66" s="19"/>
      <c r="J66" s="19"/>
      <c r="K66" s="19"/>
      <c r="L66" s="19"/>
      <c r="M66" s="19"/>
      <c r="N66" s="19"/>
      <c r="O66" s="19"/>
      <c r="P66" s="19"/>
      <c r="Q66" s="19"/>
    </row>
    <row r="67" spans="1:19" x14ac:dyDescent="0.25">
      <c r="A67" s="1205"/>
      <c r="B67" s="9" t="s">
        <v>258</v>
      </c>
      <c r="C67" s="295">
        <f>C61+(C63*1000000/29487.1582406855)+(C64*1000000/25364.5039539246)</f>
        <v>37421.889551591878</v>
      </c>
      <c r="D67" s="295">
        <f>D61+D65</f>
        <v>357091.73745896592</v>
      </c>
      <c r="E67" s="295">
        <f>E61+(E63*1000000/29487.1582406855)+(E64*1000000/25364.5039539246)</f>
        <v>26407.212500591868</v>
      </c>
      <c r="F67" s="295">
        <f t="shared" ref="F67:H67" si="10">F61+(F63*1000000/29487.1582406855)+(F64*1000000/25364.5039539246)</f>
        <v>26510.207959578995</v>
      </c>
      <c r="G67" s="295">
        <f t="shared" si="10"/>
        <v>26688.057204987308</v>
      </c>
      <c r="H67" s="295">
        <f t="shared" si="10"/>
        <v>26825.135975092759</v>
      </c>
      <c r="I67" s="19">
        <f t="shared" ref="I67:P67" si="11">I61+I65</f>
        <v>0</v>
      </c>
      <c r="J67" s="19">
        <f t="shared" si="11"/>
        <v>0</v>
      </c>
      <c r="K67" s="19">
        <f t="shared" si="11"/>
        <v>0</v>
      </c>
      <c r="L67" s="19">
        <f t="shared" si="11"/>
        <v>0</v>
      </c>
      <c r="M67" s="19">
        <f t="shared" si="11"/>
        <v>0</v>
      </c>
      <c r="N67" s="19">
        <f t="shared" si="11"/>
        <v>0</v>
      </c>
      <c r="O67" s="19">
        <f t="shared" si="11"/>
        <v>0</v>
      </c>
      <c r="P67" s="19">
        <f t="shared" si="11"/>
        <v>0</v>
      </c>
      <c r="Q67" s="19"/>
    </row>
    <row r="68" spans="1:19" customFormat="1" x14ac:dyDescent="0.25">
      <c r="B68" s="270" t="s">
        <v>162</v>
      </c>
      <c r="C68" s="132">
        <f>C11+C29+C43+C49+C67</f>
        <v>251011.27559325853</v>
      </c>
      <c r="D68" s="132"/>
      <c r="E68" s="132">
        <f>E11+E29+E43+E49+E67</f>
        <v>121494.35309985853</v>
      </c>
      <c r="F68" s="132">
        <f>F11+F29+F43+F49+F67</f>
        <v>122377.16373279263</v>
      </c>
      <c r="G68" s="132">
        <f>G11+G29+G43+G49+G67</f>
        <v>123430.28585639759</v>
      </c>
      <c r="H68" s="132">
        <f>H11+H29+H43+H49+H67</f>
        <v>124347.61107754125</v>
      </c>
      <c r="I68" s="264"/>
    </row>
    <row r="69" spans="1:19" ht="13.8" thickBot="1" x14ac:dyDescent="0.3">
      <c r="A69" s="10"/>
      <c r="B69" s="10"/>
      <c r="C69" s="10"/>
      <c r="D69" s="10"/>
      <c r="E69" s="10"/>
      <c r="F69" s="10"/>
      <c r="G69" s="10"/>
      <c r="H69" s="10"/>
      <c r="I69" s="1003">
        <f>SUM(I8:I66)/2</f>
        <v>0</v>
      </c>
      <c r="J69" s="1003">
        <f>SUM(J8:J66)/2</f>
        <v>0</v>
      </c>
      <c r="K69" s="1003">
        <f>SUM(K8:K66)/2</f>
        <v>0</v>
      </c>
      <c r="L69" s="1003">
        <f>SUM(L8:L66)/2</f>
        <v>0</v>
      </c>
      <c r="M69" s="1003">
        <f>SUM(M8:M66)/2</f>
        <v>0</v>
      </c>
      <c r="N69" s="1003">
        <f t="shared" ref="N69:P69" si="12">SUM(N8:N66)/2</f>
        <v>0</v>
      </c>
      <c r="O69" s="1003">
        <f t="shared" si="12"/>
        <v>0</v>
      </c>
      <c r="P69" s="1003">
        <f t="shared" si="12"/>
        <v>0</v>
      </c>
      <c r="Q69" s="10"/>
      <c r="R69" s="10"/>
      <c r="S69" s="10"/>
    </row>
    <row r="70" spans="1:19" x14ac:dyDescent="0.25">
      <c r="A70" s="35" t="s">
        <v>23</v>
      </c>
      <c r="B70" s="36"/>
      <c r="C70" s="36"/>
      <c r="D70" s="36"/>
      <c r="E70" s="36"/>
      <c r="F70" s="36"/>
      <c r="G70" s="36"/>
      <c r="H70" s="36"/>
      <c r="I70" s="36"/>
      <c r="J70" s="36"/>
      <c r="K70" s="36"/>
      <c r="L70" s="36"/>
      <c r="M70" s="36"/>
      <c r="N70" s="36"/>
      <c r="O70" s="36"/>
      <c r="P70" s="36"/>
      <c r="Q70" s="36"/>
      <c r="R70" s="36"/>
    </row>
    <row r="71" spans="1:19" x14ac:dyDescent="0.25">
      <c r="A71" s="36"/>
      <c r="B71" s="36"/>
      <c r="C71" s="36"/>
      <c r="D71" s="36"/>
      <c r="E71" s="36"/>
      <c r="F71" s="36"/>
      <c r="G71" s="36"/>
      <c r="H71" s="36"/>
      <c r="I71" s="36"/>
      <c r="J71" s="36"/>
      <c r="K71" s="36"/>
      <c r="L71" s="36"/>
      <c r="M71" s="36"/>
      <c r="N71" s="36"/>
      <c r="O71" s="36"/>
      <c r="P71" s="36"/>
      <c r="Q71" s="36"/>
      <c r="R71" s="36"/>
    </row>
    <row r="72" spans="1:19" x14ac:dyDescent="0.25">
      <c r="A72" s="36"/>
      <c r="B72" s="36"/>
      <c r="C72" s="36"/>
      <c r="D72" s="36"/>
      <c r="E72" s="36"/>
      <c r="F72" s="36"/>
      <c r="G72" s="36"/>
      <c r="H72" s="36"/>
      <c r="I72" s="36"/>
      <c r="J72" s="36"/>
      <c r="K72" s="36"/>
      <c r="L72" s="36"/>
      <c r="M72" s="36"/>
      <c r="N72" s="36"/>
      <c r="O72" s="36"/>
      <c r="P72" s="36"/>
      <c r="Q72" s="36"/>
      <c r="R72" s="36"/>
    </row>
    <row r="73" spans="1:19" ht="26.4" x14ac:dyDescent="0.25">
      <c r="A73" s="37" t="s">
        <v>1037</v>
      </c>
      <c r="B73" s="454" t="s">
        <v>297</v>
      </c>
      <c r="C73" s="37" t="s">
        <v>1042</v>
      </c>
      <c r="D73" s="37" t="s">
        <v>1041</v>
      </c>
      <c r="E73" s="36" t="s">
        <v>598</v>
      </c>
      <c r="F73" s="38"/>
      <c r="G73" s="38"/>
      <c r="H73" s="36"/>
      <c r="I73" s="36"/>
      <c r="J73" s="36"/>
      <c r="K73" s="36"/>
      <c r="L73" s="36"/>
      <c r="M73" s="36"/>
      <c r="N73" s="36"/>
      <c r="O73" s="36"/>
      <c r="P73" s="36"/>
      <c r="Q73" s="36"/>
      <c r="R73" s="36"/>
    </row>
    <row r="74" spans="1:19" x14ac:dyDescent="0.25">
      <c r="A74" s="39" t="s">
        <v>519</v>
      </c>
      <c r="B74" s="21">
        <v>320</v>
      </c>
      <c r="C74" s="40">
        <f>'Biomass Data Assumptions'!B38*B74</f>
        <v>20896</v>
      </c>
      <c r="D74" s="40">
        <f>(C74*'Biomass Data Assumptions'!C38)/2000</f>
        <v>585.08799999999997</v>
      </c>
      <c r="E74" s="41"/>
      <c r="F74" s="41"/>
      <c r="G74" s="41"/>
      <c r="H74" s="36"/>
      <c r="I74" s="36"/>
      <c r="J74" s="36"/>
      <c r="K74" s="36"/>
      <c r="L74" s="36"/>
      <c r="M74" s="36"/>
      <c r="N74" s="36"/>
      <c r="O74" s="36"/>
      <c r="P74" s="36"/>
      <c r="Q74" s="36"/>
      <c r="R74" s="36"/>
    </row>
    <row r="75" spans="1:19" x14ac:dyDescent="0.25">
      <c r="A75" s="39" t="s">
        <v>520</v>
      </c>
      <c r="B75" s="21">
        <v>131</v>
      </c>
      <c r="C75" s="40">
        <f>'Biomass Data Assumptions'!B39*B75</f>
        <v>3576.3</v>
      </c>
      <c r="D75" s="40">
        <f>(C75*'Biomass Data Assumptions'!C39)/2000</f>
        <v>100.13640000000001</v>
      </c>
      <c r="E75" s="41"/>
      <c r="F75" s="41"/>
      <c r="G75" s="41"/>
      <c r="H75" s="36"/>
      <c r="I75" s="36"/>
      <c r="J75" s="36"/>
      <c r="K75" s="36"/>
      <c r="L75" s="36"/>
      <c r="M75" s="36"/>
      <c r="N75" s="36"/>
      <c r="O75" s="36"/>
      <c r="P75" s="36"/>
      <c r="Q75" s="36"/>
      <c r="R75" s="36"/>
    </row>
    <row r="76" spans="1:19" x14ac:dyDescent="0.25">
      <c r="A76" s="39" t="s">
        <v>521</v>
      </c>
      <c r="B76" s="21">
        <v>13968</v>
      </c>
      <c r="C76" s="40">
        <f>'Biomass Data Assumptions'!B40*B76</f>
        <v>1746000</v>
      </c>
      <c r="D76" s="40">
        <f>(C76*'Biomass Data Assumptions'!C40)/2000</f>
        <v>48888</v>
      </c>
      <c r="E76" s="41"/>
      <c r="F76" s="41"/>
      <c r="G76" s="41"/>
      <c r="H76" s="36"/>
      <c r="I76" s="36"/>
      <c r="J76" s="36"/>
      <c r="K76" s="36"/>
      <c r="L76" s="36"/>
      <c r="M76" s="36"/>
      <c r="N76" s="36"/>
      <c r="O76" s="36"/>
      <c r="P76" s="36"/>
      <c r="Q76" s="36"/>
      <c r="R76" s="36"/>
    </row>
    <row r="77" spans="1:19" x14ac:dyDescent="0.25">
      <c r="A77" s="39" t="s">
        <v>525</v>
      </c>
      <c r="B77" s="21">
        <v>4696</v>
      </c>
      <c r="C77" s="40">
        <f>'Biomass Data Assumptions'!B41*B77</f>
        <v>150272</v>
      </c>
      <c r="D77" s="40">
        <f>(C77*'Biomass Data Assumptions'!C41)/2000</f>
        <v>4508.16</v>
      </c>
      <c r="E77" s="41"/>
      <c r="F77" s="41"/>
      <c r="G77" s="41"/>
      <c r="H77" s="36"/>
      <c r="I77" s="36"/>
      <c r="J77" s="36"/>
      <c r="K77" s="36"/>
      <c r="L77" s="36"/>
      <c r="M77" s="36"/>
      <c r="N77" s="36"/>
      <c r="O77" s="36"/>
      <c r="P77" s="36"/>
      <c r="Q77" s="36"/>
      <c r="R77" s="36"/>
    </row>
    <row r="78" spans="1:19" x14ac:dyDescent="0.25">
      <c r="A78" s="39" t="s">
        <v>522</v>
      </c>
      <c r="B78" s="21">
        <v>1115</v>
      </c>
      <c r="C78" s="40">
        <f>'Biomass Data Assumptions'!B42*B78</f>
        <v>60210</v>
      </c>
      <c r="D78" s="40">
        <f>(C78*'Biomass Data Assumptions'!C42)/2000</f>
        <v>1806.3</v>
      </c>
      <c r="E78" s="41"/>
      <c r="F78" s="41"/>
      <c r="G78" s="41"/>
      <c r="H78" s="36"/>
      <c r="I78" s="36"/>
      <c r="J78" s="36"/>
      <c r="K78" s="36"/>
      <c r="L78" s="36"/>
      <c r="M78" s="36"/>
      <c r="N78" s="36"/>
      <c r="O78" s="36"/>
      <c r="P78" s="36"/>
      <c r="Q78" s="36"/>
      <c r="R78" s="36"/>
    </row>
    <row r="79" spans="1:19" x14ac:dyDescent="0.25">
      <c r="A79" s="36"/>
      <c r="B79" s="36"/>
      <c r="C79" s="36"/>
      <c r="D79" s="36"/>
      <c r="E79" s="36"/>
      <c r="F79" s="36"/>
      <c r="G79" s="36"/>
      <c r="H79" s="36"/>
      <c r="I79" s="36"/>
      <c r="J79" s="36"/>
      <c r="K79" s="36"/>
      <c r="L79" s="36"/>
      <c r="M79" s="36"/>
      <c r="N79" s="36"/>
      <c r="O79" s="36"/>
      <c r="P79" s="36"/>
      <c r="Q79" s="36"/>
      <c r="R79" s="36"/>
    </row>
    <row r="80" spans="1:19" ht="39.6" x14ac:dyDescent="0.25">
      <c r="A80" s="37" t="s">
        <v>1038</v>
      </c>
      <c r="B80" s="454" t="s">
        <v>297</v>
      </c>
      <c r="C80" s="37" t="s">
        <v>1041</v>
      </c>
      <c r="D80" s="37" t="s">
        <v>1036</v>
      </c>
      <c r="E80" s="36" t="s">
        <v>598</v>
      </c>
      <c r="F80" s="38"/>
      <c r="G80" s="38"/>
      <c r="H80" s="36"/>
      <c r="I80" s="36"/>
      <c r="J80" s="36"/>
      <c r="K80" s="36"/>
      <c r="L80" s="36"/>
      <c r="M80" s="36"/>
      <c r="N80" s="36"/>
      <c r="O80" s="36"/>
      <c r="P80" s="36"/>
      <c r="Q80" s="36"/>
      <c r="R80" s="36"/>
    </row>
    <row r="81" spans="1:18" x14ac:dyDescent="0.25">
      <c r="A81" s="39" t="s">
        <v>527</v>
      </c>
      <c r="B81" s="21">
        <v>333</v>
      </c>
      <c r="C81" s="40">
        <f>'Biomass Data Assumptions'!B49*B81</f>
        <v>333</v>
      </c>
      <c r="D81" s="40">
        <f>C81*'Energy Content Assumptions'!C11</f>
        <v>283.05</v>
      </c>
      <c r="E81" s="41"/>
      <c r="F81" s="41"/>
      <c r="G81" s="41"/>
      <c r="H81" s="36"/>
      <c r="I81" s="36"/>
      <c r="J81" s="36"/>
      <c r="K81" s="36"/>
      <c r="L81" s="36"/>
      <c r="M81" s="36"/>
      <c r="N81" s="36"/>
      <c r="O81" s="36"/>
      <c r="P81" s="36"/>
      <c r="Q81" s="36"/>
      <c r="R81" s="36"/>
    </row>
    <row r="82" spans="1:18" x14ac:dyDescent="0.25">
      <c r="A82" s="39" t="s">
        <v>520</v>
      </c>
      <c r="B82" s="21">
        <f>159+131</f>
        <v>290</v>
      </c>
      <c r="C82" s="40">
        <f>'Biomass Data Assumptions'!B50*B82</f>
        <v>652.5</v>
      </c>
      <c r="D82" s="40">
        <f>C82*'Energy Content Assumptions'!C12</f>
        <v>554.625</v>
      </c>
      <c r="E82" s="41"/>
      <c r="F82" s="41"/>
      <c r="G82" s="41"/>
      <c r="H82" s="36"/>
      <c r="I82" s="36"/>
      <c r="J82" s="36"/>
      <c r="K82" s="36"/>
      <c r="L82" s="36"/>
      <c r="M82" s="36"/>
      <c r="N82" s="36"/>
      <c r="O82" s="36"/>
      <c r="P82" s="36"/>
      <c r="Q82" s="36"/>
      <c r="R82" s="36"/>
    </row>
    <row r="83" spans="1:18" x14ac:dyDescent="0.25">
      <c r="A83" s="39" t="s">
        <v>521</v>
      </c>
      <c r="B83" s="21">
        <v>13968</v>
      </c>
      <c r="C83" s="40">
        <f>'Biomass Data Assumptions'!B51*B83</f>
        <v>34920</v>
      </c>
      <c r="D83" s="40">
        <f>C83*'Energy Content Assumptions'!C13</f>
        <v>29682</v>
      </c>
      <c r="E83" s="41"/>
      <c r="F83" s="41"/>
      <c r="G83" s="41"/>
      <c r="H83" s="36"/>
      <c r="I83" s="36"/>
      <c r="J83" s="36"/>
      <c r="K83" s="36"/>
      <c r="L83" s="36"/>
      <c r="M83" s="36"/>
      <c r="N83" s="36"/>
      <c r="O83" s="36"/>
      <c r="P83" s="36"/>
      <c r="Q83" s="36"/>
      <c r="R83" s="36"/>
    </row>
    <row r="84" spans="1:18" x14ac:dyDescent="0.25">
      <c r="A84" s="39" t="s">
        <v>528</v>
      </c>
      <c r="B84" s="21">
        <v>2268</v>
      </c>
      <c r="C84" s="40">
        <f>'Biomass Data Assumptions'!B52*B84</f>
        <v>37195.199999999997</v>
      </c>
      <c r="D84" s="40">
        <f>C84*'Energy Content Assumptions'!C14</f>
        <v>13018.319999999998</v>
      </c>
      <c r="E84" s="41"/>
      <c r="F84" s="41"/>
      <c r="G84" s="41"/>
      <c r="H84" s="36"/>
      <c r="I84" s="36"/>
      <c r="J84" s="36"/>
      <c r="K84" s="36"/>
      <c r="L84" s="36"/>
      <c r="M84" s="36"/>
      <c r="N84" s="36"/>
      <c r="O84" s="36"/>
      <c r="P84" s="36"/>
      <c r="Q84" s="36"/>
      <c r="R84" s="36"/>
    </row>
    <row r="85" spans="1:18" x14ac:dyDescent="0.25">
      <c r="A85" s="39" t="s">
        <v>529</v>
      </c>
      <c r="B85" s="21">
        <v>4129</v>
      </c>
      <c r="C85" s="40">
        <f>'Biomass Data Assumptions'!B53*B85</f>
        <v>13212.800000000001</v>
      </c>
      <c r="D85" s="40">
        <f>C85*'Energy Content Assumptions'!C15</f>
        <v>11230.880000000001</v>
      </c>
      <c r="E85" s="41"/>
      <c r="F85" s="41"/>
      <c r="G85" s="41"/>
      <c r="H85" s="36"/>
      <c r="I85" s="36"/>
      <c r="J85" s="36"/>
      <c r="K85" s="36"/>
      <c r="L85" s="36"/>
      <c r="M85" s="36"/>
      <c r="N85" s="36"/>
      <c r="O85" s="36"/>
      <c r="P85" s="36"/>
      <c r="Q85" s="36"/>
      <c r="R85" s="36"/>
    </row>
    <row r="86" spans="1:18" x14ac:dyDescent="0.25">
      <c r="A86" s="39" t="s">
        <v>530</v>
      </c>
      <c r="B86" s="21">
        <v>11775</v>
      </c>
      <c r="C86" s="40">
        <f>'Biomass Data Assumptions'!B54*B86</f>
        <v>20017.5</v>
      </c>
      <c r="D86" s="40">
        <f>C86*'Energy Content Assumptions'!C16</f>
        <v>17014.875</v>
      </c>
      <c r="E86" s="41"/>
      <c r="F86" s="41"/>
      <c r="G86" s="41"/>
      <c r="H86" s="36"/>
      <c r="I86" s="36"/>
      <c r="J86" s="36"/>
      <c r="K86" s="36"/>
      <c r="L86" s="36"/>
      <c r="M86" s="36"/>
      <c r="N86" s="36"/>
      <c r="O86" s="36"/>
      <c r="P86" s="36"/>
      <c r="Q86" s="36"/>
      <c r="R86" s="36"/>
    </row>
    <row r="87" spans="1:18" x14ac:dyDescent="0.25">
      <c r="A87" s="39" t="s">
        <v>522</v>
      </c>
      <c r="B87" s="21">
        <v>1115</v>
      </c>
      <c r="C87" s="40">
        <f>'Biomass Data Assumptions'!B55*B87</f>
        <v>1951.25</v>
      </c>
      <c r="D87" s="40">
        <f>C87*'Energy Content Assumptions'!C17</f>
        <v>1658.5625</v>
      </c>
      <c r="E87" s="41"/>
      <c r="F87" s="41"/>
      <c r="G87" s="41"/>
      <c r="H87" s="36"/>
      <c r="I87" s="36"/>
      <c r="J87" s="36"/>
      <c r="K87" s="36"/>
      <c r="L87" s="36"/>
      <c r="M87" s="36"/>
      <c r="N87" s="36"/>
      <c r="O87" s="36"/>
      <c r="P87" s="36"/>
      <c r="Q87" s="36"/>
      <c r="R87" s="36"/>
    </row>
    <row r="88" spans="1:18" x14ac:dyDescent="0.25">
      <c r="A88" s="43"/>
      <c r="B88" s="41"/>
      <c r="C88" s="41"/>
      <c r="D88" s="41"/>
      <c r="E88" s="41"/>
      <c r="F88" s="41"/>
      <c r="G88" s="41"/>
      <c r="H88" s="36"/>
      <c r="I88" s="36"/>
      <c r="J88" s="36"/>
      <c r="K88" s="36"/>
      <c r="L88" s="36"/>
      <c r="M88" s="36"/>
      <c r="N88" s="36"/>
      <c r="O88" s="36"/>
      <c r="P88" s="36"/>
      <c r="Q88" s="36"/>
      <c r="R88" s="36"/>
    </row>
    <row r="89" spans="1:18" x14ac:dyDescent="0.25">
      <c r="A89" s="43"/>
      <c r="B89" s="640" t="s">
        <v>297</v>
      </c>
      <c r="C89" s="122" t="s">
        <v>299</v>
      </c>
      <c r="D89" s="122" t="s">
        <v>300</v>
      </c>
      <c r="E89" s="41"/>
      <c r="F89" s="41"/>
      <c r="G89" s="41"/>
      <c r="H89" s="36"/>
      <c r="I89" s="36"/>
      <c r="J89" s="36"/>
      <c r="K89" s="36"/>
      <c r="L89" s="36"/>
      <c r="M89" s="36"/>
      <c r="N89" s="36"/>
      <c r="O89" s="36"/>
      <c r="P89" s="36"/>
      <c r="Q89" s="36"/>
      <c r="R89" s="36"/>
    </row>
    <row r="90" spans="1:18" x14ac:dyDescent="0.25">
      <c r="A90" s="43" t="s">
        <v>296</v>
      </c>
      <c r="B90" s="85">
        <f>IF('Prac. Rec. Assumptions'!B56='Prac. Rec. Assumptions'!V3,0,SUM(IF('Prac. Rec. Assumptions'!B57="Yes",B74,0),IF('Prac. Rec. Assumptions'!B58="Yes",B81,0),IF('Prac. Rec. Assumptions'!B59="Yes",B82,0),IF('Prac. Rec. Assumptions'!B60="Yes",B83,0),IF('Prac. Rec. Assumptions'!B61="Yes",B84,0),IF('Prac. Rec. Assumptions'!B62="Yes",B85,0),IF('Prac. Rec. Assumptions'!B63="Yes",B86,0),IF('Prac. Rec. Assumptions'!B64="Yes",B87,0)))</f>
        <v>0</v>
      </c>
      <c r="C90" s="41">
        <f>IF('Prac. Rec. Assumptions'!B56='Prac. Rec. Assumptions'!V1,'Biomass Data Assumptions'!C46,IF('Prac. Rec. Assumptions'!B56='Prac. Rec. Assumptions'!V2,'Biomass Data Assumptions'!C45,0))</f>
        <v>0</v>
      </c>
      <c r="D90" s="41">
        <f>(C90*'Energy Content Assumptions'!C9)*B90</f>
        <v>0</v>
      </c>
      <c r="E90" s="41"/>
      <c r="F90" s="41"/>
      <c r="G90" s="41"/>
      <c r="H90" s="36"/>
      <c r="I90" s="36"/>
      <c r="J90" s="36"/>
      <c r="K90" s="36"/>
      <c r="L90" s="36"/>
      <c r="M90" s="36"/>
      <c r="N90" s="36"/>
      <c r="O90" s="36"/>
      <c r="P90" s="36"/>
      <c r="Q90" s="36"/>
      <c r="R90" s="36"/>
    </row>
    <row r="91" spans="1:18" x14ac:dyDescent="0.25">
      <c r="A91" s="36"/>
      <c r="B91" s="36"/>
      <c r="C91" s="36"/>
      <c r="D91" s="36"/>
      <c r="E91" s="36"/>
      <c r="F91" s="36"/>
      <c r="G91" s="36"/>
      <c r="H91" s="36"/>
      <c r="I91" s="36"/>
      <c r="J91" s="36"/>
      <c r="K91" s="36"/>
      <c r="L91" s="36"/>
      <c r="M91" s="36"/>
      <c r="N91" s="36"/>
      <c r="O91" s="36"/>
      <c r="P91" s="36"/>
      <c r="Q91" s="36"/>
      <c r="R91" s="36"/>
    </row>
    <row r="92" spans="1:18" ht="39.6" x14ac:dyDescent="0.25">
      <c r="A92" s="42" t="s">
        <v>531</v>
      </c>
      <c r="B92" s="455" t="s">
        <v>298</v>
      </c>
      <c r="C92" s="38" t="s">
        <v>1050</v>
      </c>
      <c r="D92" s="38" t="s">
        <v>1045</v>
      </c>
      <c r="E92" s="38" t="s">
        <v>1048</v>
      </c>
      <c r="F92" s="38" t="s">
        <v>1047</v>
      </c>
      <c r="G92" s="38" t="s">
        <v>1046</v>
      </c>
      <c r="H92" s="36" t="s">
        <v>599</v>
      </c>
      <c r="I92" s="36"/>
      <c r="J92" s="38"/>
      <c r="K92" s="38"/>
      <c r="L92" s="38"/>
      <c r="M92" s="38"/>
      <c r="N92" s="36"/>
      <c r="O92" s="36"/>
      <c r="P92" s="36"/>
      <c r="Q92" s="36"/>
      <c r="R92" s="36"/>
    </row>
    <row r="93" spans="1:18" x14ac:dyDescent="0.25">
      <c r="A93" s="42"/>
      <c r="B93" s="38"/>
      <c r="C93" s="38"/>
      <c r="D93" s="38"/>
      <c r="E93" s="38"/>
      <c r="F93" s="36"/>
      <c r="G93" s="36"/>
      <c r="H93" s="36"/>
      <c r="I93" s="36"/>
      <c r="J93" s="38"/>
      <c r="K93" s="38"/>
      <c r="L93" s="38"/>
      <c r="M93" s="38"/>
      <c r="N93" s="36"/>
      <c r="O93" s="36"/>
      <c r="P93" s="36"/>
      <c r="Q93" s="36"/>
      <c r="R93" s="36"/>
    </row>
    <row r="94" spans="1:18" hidden="1" x14ac:dyDescent="0.25">
      <c r="A94" s="43"/>
      <c r="B94" s="36"/>
      <c r="C94" s="41"/>
      <c r="D94" s="41"/>
      <c r="E94" s="44"/>
      <c r="F94" s="36"/>
      <c r="G94" s="36"/>
      <c r="H94" s="36"/>
      <c r="I94" s="36"/>
      <c r="J94" s="44"/>
      <c r="K94" s="44"/>
      <c r="L94" s="44"/>
      <c r="M94" s="44"/>
      <c r="N94" s="36"/>
      <c r="O94" s="36"/>
      <c r="P94" s="36"/>
      <c r="Q94" s="36"/>
      <c r="R94" s="36"/>
    </row>
    <row r="95" spans="1:18" hidden="1" x14ac:dyDescent="0.25">
      <c r="A95" s="45"/>
      <c r="B95" s="85"/>
      <c r="C95" s="41"/>
      <c r="D95" s="41"/>
      <c r="E95" s="41"/>
      <c r="F95" s="41"/>
      <c r="G95" s="41"/>
      <c r="H95" s="36"/>
      <c r="I95" s="36"/>
      <c r="J95" s="41"/>
      <c r="K95" s="41"/>
      <c r="L95" s="41"/>
      <c r="M95" s="41"/>
      <c r="N95" s="36"/>
      <c r="O95" s="36"/>
      <c r="P95" s="36"/>
      <c r="Q95" s="36"/>
      <c r="R95" s="36"/>
    </row>
    <row r="96" spans="1:18" hidden="1" x14ac:dyDescent="0.25">
      <c r="A96" s="45"/>
      <c r="B96" s="85"/>
      <c r="C96" s="41"/>
      <c r="D96" s="41"/>
      <c r="E96" s="41"/>
      <c r="F96" s="41"/>
      <c r="G96" s="41"/>
      <c r="H96" s="36"/>
      <c r="I96" s="36"/>
      <c r="J96" s="41"/>
      <c r="K96" s="41"/>
      <c r="L96" s="41"/>
      <c r="M96" s="41"/>
      <c r="N96" s="36"/>
      <c r="O96" s="36"/>
      <c r="P96" s="36"/>
      <c r="Q96" s="36"/>
      <c r="R96" s="36"/>
    </row>
    <row r="97" spans="1:18" x14ac:dyDescent="0.25">
      <c r="A97" s="467" t="s">
        <v>535</v>
      </c>
      <c r="B97" s="85">
        <v>2567</v>
      </c>
      <c r="C97" s="41">
        <f>ROUND('Biomass Data Assumptions'!$B$60/1000*B97,0)</f>
        <v>2567</v>
      </c>
      <c r="D97" s="41">
        <f>'Biomass Data Assumptions'!$C$60*C97</f>
        <v>86199860</v>
      </c>
      <c r="E97" s="41">
        <f>('Biomass Data Assumptions'!$D$60*'Energy Content Assumptions'!$C$44*D97)/2000</f>
        <v>1034.39832</v>
      </c>
      <c r="F97" s="41">
        <f>('Biomass Data Assumptions'!$E$60*B97*365)/2000</f>
        <v>1873.91</v>
      </c>
      <c r="G97" s="41">
        <f>F97+E97</f>
        <v>2908.3083200000001</v>
      </c>
      <c r="H97" s="36"/>
      <c r="I97" s="36"/>
      <c r="J97" s="41"/>
      <c r="K97" s="41"/>
      <c r="L97" s="41"/>
      <c r="M97" s="41"/>
      <c r="N97" s="36"/>
      <c r="O97" s="36"/>
      <c r="P97" s="36"/>
      <c r="Q97" s="36"/>
      <c r="R97" s="36"/>
    </row>
    <row r="98" spans="1:18" x14ac:dyDescent="0.25">
      <c r="A98" s="46"/>
      <c r="B98" s="41"/>
      <c r="C98" s="41"/>
      <c r="D98" s="41"/>
      <c r="E98" s="41"/>
      <c r="F98" s="41"/>
      <c r="G98" s="41"/>
      <c r="H98" s="36"/>
      <c r="I98" s="36"/>
      <c r="J98" s="41"/>
      <c r="K98" s="41"/>
      <c r="L98" s="41"/>
      <c r="M98" s="41"/>
      <c r="N98" s="36"/>
      <c r="O98" s="36"/>
      <c r="P98" s="36"/>
      <c r="Q98" s="36"/>
      <c r="R98" s="36"/>
    </row>
    <row r="99" spans="1:18" x14ac:dyDescent="0.25">
      <c r="A99" s="43" t="s">
        <v>539</v>
      </c>
      <c r="B99" s="47"/>
      <c r="C99" s="41"/>
      <c r="D99" s="41"/>
      <c r="E99" s="41"/>
      <c r="F99" s="41"/>
      <c r="G99" s="41"/>
      <c r="H99" s="36"/>
      <c r="I99" s="36"/>
      <c r="J99" s="41"/>
      <c r="K99" s="41"/>
      <c r="L99" s="41"/>
      <c r="M99" s="41"/>
      <c r="N99" s="36"/>
      <c r="O99" s="36"/>
      <c r="P99" s="36"/>
      <c r="Q99" s="36"/>
      <c r="R99" s="36"/>
    </row>
    <row r="100" spans="1:18" x14ac:dyDescent="0.25">
      <c r="A100" s="460" t="s">
        <v>603</v>
      </c>
      <c r="B100" s="85">
        <v>1843</v>
      </c>
      <c r="C100" s="41">
        <f>ROUND('Biomass Data Assumptions'!B62/1000*B100,0)</f>
        <v>645</v>
      </c>
      <c r="D100" s="41">
        <f>'Biomass Data Assumptions'!C62*C100</f>
        <v>18834000</v>
      </c>
      <c r="E100" s="41">
        <f>('Biomass Data Assumptions'!D62*'Energy Content Assumptions'!C46*D100)/2000</f>
        <v>847.53</v>
      </c>
      <c r="F100" s="41">
        <f>('Biomass Data Assumptions'!E62*B100*365)/2000</f>
        <v>1681.7375</v>
      </c>
      <c r="G100" s="41">
        <f>F100+E100</f>
        <v>2529.2674999999999</v>
      </c>
      <c r="H100" s="36"/>
      <c r="I100" s="36"/>
      <c r="J100" s="41"/>
      <c r="K100" s="41"/>
      <c r="L100" s="41"/>
      <c r="M100" s="41"/>
      <c r="N100" s="36"/>
      <c r="O100" s="36"/>
      <c r="P100" s="36"/>
      <c r="Q100" s="36"/>
      <c r="R100" s="36"/>
    </row>
    <row r="101" spans="1:18" hidden="1" x14ac:dyDescent="0.25">
      <c r="A101" s="45"/>
      <c r="B101" s="85"/>
      <c r="C101" s="41"/>
      <c r="D101" s="41"/>
      <c r="E101" s="41"/>
      <c r="F101" s="41"/>
      <c r="G101" s="41"/>
      <c r="H101" s="36"/>
      <c r="I101" s="36"/>
      <c r="J101" s="41"/>
      <c r="K101" s="41"/>
      <c r="L101" s="41"/>
      <c r="M101" s="41"/>
      <c r="N101" s="36"/>
      <c r="O101" s="36"/>
      <c r="P101" s="36"/>
      <c r="Q101" s="36"/>
      <c r="R101" s="36"/>
    </row>
    <row r="102" spans="1:18" x14ac:dyDescent="0.25">
      <c r="A102" s="460" t="s">
        <v>604</v>
      </c>
      <c r="B102" s="85">
        <v>2487</v>
      </c>
      <c r="C102" s="41">
        <f>ROUND('Biomass Data Assumptions'!B64/1000*B102,0)</f>
        <v>3482</v>
      </c>
      <c r="D102" s="41">
        <f>'Biomass Data Assumptions'!C64*C102</f>
        <v>141073230</v>
      </c>
      <c r="E102" s="41">
        <f>('Biomass Data Assumptions'!D64*'Energy Content Assumptions'!C48*D102)/2000</f>
        <v>6348.2953499999994</v>
      </c>
      <c r="F102" s="41">
        <f>'Biomass Data Assumptions'!E64*B102*365/2000</f>
        <v>4538.7749999999996</v>
      </c>
      <c r="G102" s="41">
        <f>F102+E102</f>
        <v>10887.070349999998</v>
      </c>
      <c r="H102" s="36"/>
      <c r="I102" s="36"/>
      <c r="J102" s="41"/>
      <c r="K102" s="41"/>
      <c r="L102" s="41"/>
      <c r="M102" s="41"/>
      <c r="N102" s="36"/>
      <c r="O102" s="36"/>
      <c r="P102" s="36"/>
      <c r="Q102" s="36"/>
      <c r="R102" s="36"/>
    </row>
    <row r="103" spans="1:18" hidden="1" x14ac:dyDescent="0.25">
      <c r="A103" s="45"/>
      <c r="B103" s="85"/>
      <c r="C103" s="41"/>
      <c r="D103" s="41"/>
      <c r="E103" s="41"/>
      <c r="F103" s="41"/>
      <c r="G103" s="41"/>
      <c r="H103" s="36"/>
      <c r="I103" s="36"/>
      <c r="J103" s="41"/>
      <c r="K103" s="41"/>
      <c r="L103" s="41"/>
      <c r="M103" s="41"/>
      <c r="N103" s="36"/>
      <c r="O103" s="36"/>
      <c r="P103" s="36"/>
      <c r="Q103" s="36"/>
      <c r="R103" s="36"/>
    </row>
    <row r="104" spans="1:18" x14ac:dyDescent="0.25">
      <c r="A104" s="467" t="s">
        <v>544</v>
      </c>
      <c r="B104" s="85">
        <f t="shared" ref="B104:G104" si="13">SUM(B100:B103)</f>
        <v>4330</v>
      </c>
      <c r="C104" s="41">
        <f t="shared" si="13"/>
        <v>4127</v>
      </c>
      <c r="D104" s="41">
        <f t="shared" si="13"/>
        <v>159907230</v>
      </c>
      <c r="E104" s="41">
        <f t="shared" si="13"/>
        <v>7195.8253499999992</v>
      </c>
      <c r="F104" s="41">
        <f t="shared" si="13"/>
        <v>6220.5124999999998</v>
      </c>
      <c r="G104" s="41">
        <f t="shared" si="13"/>
        <v>13416.337849999998</v>
      </c>
      <c r="H104" s="36"/>
      <c r="I104" s="36"/>
      <c r="J104" s="41"/>
      <c r="K104" s="41"/>
      <c r="L104" s="41"/>
      <c r="M104" s="41"/>
      <c r="N104" s="36"/>
      <c r="O104" s="36"/>
      <c r="P104" s="36"/>
      <c r="Q104" s="36"/>
      <c r="R104" s="36"/>
    </row>
    <row r="105" spans="1:18" x14ac:dyDescent="0.25">
      <c r="A105" s="46"/>
      <c r="B105" s="41"/>
      <c r="C105" s="41"/>
      <c r="D105" s="41"/>
      <c r="E105" s="41"/>
      <c r="F105" s="41"/>
      <c r="G105" s="41"/>
      <c r="H105" s="36"/>
      <c r="I105" s="36"/>
      <c r="J105" s="41"/>
      <c r="K105" s="41"/>
      <c r="L105" s="41"/>
      <c r="M105" s="41"/>
      <c r="N105" s="36"/>
      <c r="O105" s="36"/>
      <c r="P105" s="36"/>
      <c r="Q105" s="36"/>
      <c r="R105" s="36"/>
    </row>
    <row r="106" spans="1:18" x14ac:dyDescent="0.25">
      <c r="A106" s="43" t="s">
        <v>545</v>
      </c>
      <c r="B106" s="85">
        <v>1891</v>
      </c>
      <c r="C106" s="41">
        <f>ROUND('Biomass Data Assumptions'!B66/1000*B106,0)</f>
        <v>1891</v>
      </c>
      <c r="D106" s="41">
        <f>'Biomass Data Assumptions'!C66*C106</f>
        <v>38306932.5</v>
      </c>
      <c r="E106" s="41">
        <f>('Biomass Data Assumptions'!D66*'Energy Content Assumptions'!C50*D106)/2000</f>
        <v>1340.7426375000002</v>
      </c>
      <c r="F106" s="41">
        <f>'Biomass Data Assumptions'!E66*B106*365/2000</f>
        <v>5176.6125000000002</v>
      </c>
      <c r="G106" s="41">
        <f>F106+E106</f>
        <v>6517.3551375000006</v>
      </c>
      <c r="H106" s="36"/>
      <c r="I106" s="36"/>
      <c r="J106" s="41"/>
      <c r="K106" s="41"/>
      <c r="L106" s="41"/>
      <c r="M106" s="41"/>
      <c r="N106" s="36"/>
      <c r="O106" s="36"/>
      <c r="P106" s="36"/>
      <c r="Q106" s="36"/>
      <c r="R106" s="36"/>
    </row>
    <row r="107" spans="1:18" x14ac:dyDescent="0.25">
      <c r="A107" s="43"/>
      <c r="B107" s="41"/>
      <c r="C107" s="41"/>
      <c r="D107" s="41"/>
      <c r="E107" s="41"/>
      <c r="F107" s="41"/>
      <c r="G107" s="41"/>
      <c r="H107" s="36"/>
      <c r="I107" s="36"/>
      <c r="J107" s="41"/>
      <c r="K107" s="41"/>
      <c r="L107" s="41"/>
      <c r="M107" s="41"/>
      <c r="N107" s="36"/>
      <c r="O107" s="36"/>
      <c r="P107" s="36"/>
      <c r="Q107" s="36"/>
      <c r="R107" s="36"/>
    </row>
    <row r="108" spans="1:18" x14ac:dyDescent="0.25">
      <c r="A108" s="43" t="s">
        <v>546</v>
      </c>
      <c r="B108" s="85">
        <v>1954</v>
      </c>
      <c r="C108" s="41">
        <f>ROUND('Biomass Data Assumptions'!B67/1000*B108,0)</f>
        <v>195</v>
      </c>
      <c r="D108" s="41">
        <f>'Biomass Data Assumptions'!C67*C108</f>
        <v>2918175</v>
      </c>
      <c r="E108" s="41">
        <f>('Biomass Data Assumptions'!D67*'Energy Content Assumptions'!C51*D108)/2000</f>
        <v>72.954374999999999</v>
      </c>
      <c r="F108" s="41">
        <f>'Biomass Data Assumptions'!E67*B108*365/2000</f>
        <v>356.60500000000002</v>
      </c>
      <c r="G108" s="41">
        <f>F108+E108</f>
        <v>429.55937500000005</v>
      </c>
      <c r="H108" s="36"/>
      <c r="I108" s="36"/>
      <c r="J108" s="41"/>
      <c r="K108" s="41"/>
      <c r="L108" s="41"/>
      <c r="M108" s="41"/>
      <c r="N108" s="36"/>
      <c r="O108" s="36"/>
      <c r="P108" s="36"/>
      <c r="Q108" s="36"/>
      <c r="R108" s="36"/>
    </row>
    <row r="109" spans="1:18" x14ac:dyDescent="0.25">
      <c r="A109" s="43"/>
      <c r="B109" s="41"/>
      <c r="C109" s="41"/>
      <c r="D109" s="41"/>
      <c r="E109" s="41"/>
      <c r="F109" s="41"/>
      <c r="G109" s="41"/>
      <c r="H109" s="36"/>
      <c r="I109" s="36"/>
      <c r="J109" s="41"/>
      <c r="K109" s="41"/>
      <c r="L109" s="41"/>
      <c r="M109" s="41"/>
      <c r="N109" s="36"/>
      <c r="O109" s="36"/>
      <c r="P109" s="36"/>
      <c r="Q109" s="36"/>
      <c r="R109" s="36"/>
    </row>
    <row r="110" spans="1:18" x14ac:dyDescent="0.25">
      <c r="A110" s="43" t="s">
        <v>547</v>
      </c>
      <c r="B110" s="85">
        <v>1289</v>
      </c>
      <c r="C110" s="41">
        <f>ROUND('Biomass Data Assumptions'!B68/1000*B110,0)</f>
        <v>129</v>
      </c>
      <c r="D110" s="41">
        <f>'Biomass Data Assumptions'!C68*C110</f>
        <v>1930485</v>
      </c>
      <c r="E110" s="41">
        <f>('Biomass Data Assumptions'!D68*'Energy Content Assumptions'!C52*D110)/2000</f>
        <v>48.262124999999997</v>
      </c>
      <c r="F110" s="41">
        <f>'Biomass Data Assumptions'!E68*B110*365/2000</f>
        <v>235.24250000000001</v>
      </c>
      <c r="G110" s="41">
        <f>F110+E110</f>
        <v>283.50462500000003</v>
      </c>
      <c r="H110" s="36"/>
      <c r="I110" s="36"/>
      <c r="J110" s="41"/>
      <c r="K110" s="41"/>
      <c r="L110" s="41"/>
      <c r="M110" s="41"/>
      <c r="N110" s="36"/>
      <c r="O110" s="36"/>
      <c r="P110" s="36"/>
      <c r="Q110" s="36"/>
      <c r="R110" s="36"/>
    </row>
    <row r="111" spans="1:18" ht="12" customHeight="1" x14ac:dyDescent="0.25">
      <c r="A111" s="43"/>
      <c r="B111" s="41"/>
      <c r="C111" s="41"/>
      <c r="D111" s="41"/>
      <c r="E111" s="41"/>
      <c r="F111" s="41"/>
      <c r="G111" s="41"/>
      <c r="H111" s="36"/>
      <c r="I111" s="36"/>
      <c r="J111" s="41"/>
      <c r="K111" s="41"/>
      <c r="L111" s="41"/>
      <c r="M111" s="41"/>
      <c r="N111" s="36"/>
      <c r="O111" s="36"/>
      <c r="P111" s="36"/>
      <c r="Q111" s="36"/>
      <c r="R111" s="36"/>
    </row>
    <row r="112" spans="1:18" hidden="1" x14ac:dyDescent="0.25">
      <c r="A112" s="43"/>
      <c r="B112" s="36"/>
      <c r="C112" s="41"/>
      <c r="D112" s="41"/>
      <c r="E112" s="41"/>
      <c r="F112" s="41"/>
      <c r="G112" s="41"/>
      <c r="H112" s="36"/>
      <c r="I112" s="36"/>
      <c r="J112" s="41"/>
      <c r="K112" s="41"/>
      <c r="L112" s="41"/>
      <c r="M112" s="41"/>
      <c r="N112" s="36"/>
      <c r="O112" s="36"/>
      <c r="P112" s="36"/>
      <c r="Q112" s="36"/>
      <c r="R112" s="36"/>
    </row>
    <row r="113" spans="1:18" hidden="1" x14ac:dyDescent="0.25">
      <c r="A113" s="45"/>
      <c r="B113" s="85"/>
      <c r="C113" s="41"/>
      <c r="D113" s="41"/>
      <c r="E113" s="41"/>
      <c r="F113" s="41"/>
      <c r="G113" s="41"/>
      <c r="H113" s="36"/>
      <c r="I113" s="36"/>
      <c r="J113" s="41"/>
      <c r="K113" s="41"/>
      <c r="L113" s="41"/>
      <c r="M113" s="41"/>
      <c r="N113" s="36"/>
      <c r="O113" s="36"/>
      <c r="P113" s="36"/>
      <c r="Q113" s="36"/>
      <c r="R113" s="36"/>
    </row>
    <row r="114" spans="1:18" hidden="1" x14ac:dyDescent="0.25">
      <c r="A114" s="45"/>
      <c r="B114" s="85"/>
      <c r="C114" s="41"/>
      <c r="D114" s="41"/>
      <c r="E114" s="41"/>
      <c r="F114" s="41"/>
      <c r="G114" s="41"/>
      <c r="H114" s="36"/>
      <c r="I114" s="36"/>
      <c r="J114" s="41"/>
      <c r="K114" s="41"/>
      <c r="L114" s="41"/>
      <c r="M114" s="41"/>
      <c r="N114" s="36"/>
      <c r="O114" s="36"/>
      <c r="P114" s="36"/>
      <c r="Q114" s="36"/>
      <c r="R114" s="36"/>
    </row>
    <row r="115" spans="1:18" x14ac:dyDescent="0.25">
      <c r="A115" s="467" t="s">
        <v>605</v>
      </c>
      <c r="B115" s="85">
        <v>1681</v>
      </c>
      <c r="C115" s="41">
        <f>ROUND('Biomass Data Assumptions'!$B$71/1000*B115,0)</f>
        <v>672</v>
      </c>
      <c r="D115" s="41">
        <f>'Biomass Data Assumptions'!$C$71*C115</f>
        <v>11528160</v>
      </c>
      <c r="E115" s="41">
        <f>('Biomass Data Assumptions'!$D$71*'Energy Content Assumptions'!$C$55*D115)/2000</f>
        <v>288.20400000000001</v>
      </c>
      <c r="F115" s="41">
        <f>'Biomass Data Assumptions'!$E$71*B115*365/2000</f>
        <v>0</v>
      </c>
      <c r="G115" s="41">
        <f>F115+E115</f>
        <v>288.20400000000001</v>
      </c>
      <c r="H115" s="36"/>
      <c r="I115" s="36"/>
      <c r="J115" s="41"/>
      <c r="K115" s="41"/>
      <c r="L115" s="41"/>
      <c r="M115" s="41"/>
      <c r="N115" s="36"/>
      <c r="O115" s="36"/>
      <c r="P115" s="36"/>
      <c r="Q115" s="36"/>
      <c r="R115" s="36"/>
    </row>
    <row r="116" spans="1:18" x14ac:dyDescent="0.25">
      <c r="A116" s="46"/>
      <c r="B116" s="41"/>
      <c r="C116" s="41"/>
      <c r="D116" s="41"/>
      <c r="E116" s="41"/>
      <c r="F116" s="41"/>
      <c r="G116" s="41"/>
      <c r="H116" s="36"/>
      <c r="I116" s="36"/>
      <c r="J116" s="41"/>
      <c r="K116" s="41"/>
      <c r="L116" s="41"/>
      <c r="M116" s="41"/>
      <c r="N116" s="36"/>
      <c r="O116" s="36"/>
      <c r="P116" s="36"/>
      <c r="Q116" s="36"/>
      <c r="R116" s="36"/>
    </row>
    <row r="117" spans="1:18" x14ac:dyDescent="0.25">
      <c r="A117" s="43" t="s">
        <v>551</v>
      </c>
      <c r="B117" s="85">
        <f>1016+3568+1059226</f>
        <v>1063810</v>
      </c>
      <c r="C117" s="41">
        <f>ROUND('Biomass Data Assumptions'!B72/1000*B117,0)</f>
        <v>5319</v>
      </c>
      <c r="D117" s="41">
        <f>'Biomass Data Assumptions'!C72*C117</f>
        <v>97071750</v>
      </c>
      <c r="E117" s="41">
        <f>('Biomass Data Assumptions'!D72*'Energy Content Assumptions'!C56*D117)/2000</f>
        <v>9464.4956249999996</v>
      </c>
      <c r="F117" s="41">
        <f>'Biomass Data Assumptions'!E72*B117*365/2000</f>
        <v>0</v>
      </c>
      <c r="G117" s="41">
        <f>F117+E117</f>
        <v>9464.4956249999996</v>
      </c>
      <c r="H117" s="36"/>
      <c r="I117" s="36"/>
      <c r="J117" s="41"/>
      <c r="K117" s="41"/>
      <c r="L117" s="41"/>
      <c r="M117" s="41"/>
      <c r="N117" s="36"/>
      <c r="O117" s="36"/>
      <c r="P117" s="36"/>
      <c r="Q117" s="36"/>
      <c r="R117" s="36"/>
    </row>
    <row r="118" spans="1:18" x14ac:dyDescent="0.25">
      <c r="A118" s="43"/>
      <c r="B118" s="41"/>
      <c r="C118" s="41"/>
      <c r="D118" s="41"/>
      <c r="E118" s="41"/>
      <c r="F118" s="41"/>
      <c r="G118" s="41"/>
      <c r="H118" s="36"/>
      <c r="I118" s="36"/>
      <c r="J118" s="41"/>
      <c r="K118" s="41"/>
      <c r="L118" s="41"/>
      <c r="M118" s="41"/>
      <c r="N118" s="36"/>
      <c r="O118" s="36"/>
      <c r="P118" s="36"/>
      <c r="Q118" s="36"/>
      <c r="R118" s="36"/>
    </row>
    <row r="119" spans="1:18" x14ac:dyDescent="0.25">
      <c r="A119" s="43" t="s">
        <v>552</v>
      </c>
      <c r="B119" s="85">
        <v>0</v>
      </c>
      <c r="C119" s="41">
        <f>ROUND('Biomass Data Assumptions'!B73/1000*B119,0)</f>
        <v>0</v>
      </c>
      <c r="D119" s="41">
        <f>'Biomass Data Assumptions'!C73*C119</f>
        <v>0</v>
      </c>
      <c r="E119" s="41">
        <f>('Biomass Data Assumptions'!D73*'Energy Content Assumptions'!C57*D119)/2000</f>
        <v>0</v>
      </c>
      <c r="F119" s="41">
        <f>'Biomass Data Assumptions'!E73*B119*365/2000</f>
        <v>0</v>
      </c>
      <c r="G119" s="41">
        <f>F119+E119</f>
        <v>0</v>
      </c>
      <c r="H119" s="36"/>
      <c r="I119" s="36"/>
      <c r="J119" s="41"/>
      <c r="K119" s="41"/>
      <c r="L119" s="41"/>
      <c r="M119" s="41"/>
      <c r="N119" s="36"/>
      <c r="O119" s="36"/>
      <c r="P119" s="36"/>
      <c r="Q119" s="36"/>
      <c r="R119" s="36"/>
    </row>
    <row r="120" spans="1:18" x14ac:dyDescent="0.25">
      <c r="A120" s="43"/>
      <c r="B120" s="41"/>
      <c r="C120" s="41"/>
      <c r="D120" s="41"/>
      <c r="E120" s="41"/>
      <c r="F120" s="41"/>
      <c r="G120" s="41"/>
      <c r="H120" s="36"/>
      <c r="I120" s="36"/>
      <c r="J120" s="41"/>
      <c r="K120" s="41"/>
      <c r="L120" s="41"/>
      <c r="M120" s="41"/>
      <c r="N120" s="36"/>
      <c r="O120" s="36"/>
      <c r="P120" s="36"/>
      <c r="Q120" s="36"/>
      <c r="R120" s="36"/>
    </row>
    <row r="121" spans="1:18" x14ac:dyDescent="0.25">
      <c r="A121" s="43" t="s">
        <v>553</v>
      </c>
      <c r="B121" s="86">
        <f t="shared" ref="B121:G121" si="14">B97+B104+B106+B108+B110+B115+B117+B119</f>
        <v>1077522</v>
      </c>
      <c r="C121" s="48">
        <f t="shared" si="14"/>
        <v>14900</v>
      </c>
      <c r="D121" s="48">
        <f t="shared" si="14"/>
        <v>397862592.5</v>
      </c>
      <c r="E121" s="48">
        <f t="shared" si="14"/>
        <v>19444.882432499995</v>
      </c>
      <c r="F121" s="48">
        <f t="shared" si="14"/>
        <v>13862.8825</v>
      </c>
      <c r="G121" s="48">
        <f t="shared" si="14"/>
        <v>33307.764932500002</v>
      </c>
      <c r="H121" s="36"/>
      <c r="I121" s="36"/>
      <c r="J121" s="48"/>
      <c r="K121" s="48"/>
      <c r="L121" s="48"/>
      <c r="M121" s="48"/>
      <c r="N121" s="36"/>
      <c r="O121" s="36"/>
      <c r="P121" s="36"/>
      <c r="Q121" s="36"/>
      <c r="R121" s="36"/>
    </row>
    <row r="122" spans="1:18" x14ac:dyDescent="0.25">
      <c r="A122" s="36"/>
      <c r="B122" s="36"/>
      <c r="C122" s="36"/>
      <c r="D122" s="36"/>
      <c r="E122" s="36"/>
      <c r="F122" s="36"/>
      <c r="G122" s="36"/>
      <c r="H122" s="36"/>
      <c r="I122" s="36"/>
      <c r="J122" s="36"/>
      <c r="K122" s="36"/>
      <c r="L122" s="36"/>
      <c r="M122" s="36"/>
      <c r="N122" s="36"/>
      <c r="O122" s="36"/>
      <c r="P122" s="36"/>
      <c r="Q122" s="36"/>
      <c r="R122" s="36"/>
    </row>
    <row r="123" spans="1:18" x14ac:dyDescent="0.25">
      <c r="A123" s="49" t="s">
        <v>1014</v>
      </c>
      <c r="B123" s="49" t="s">
        <v>1043</v>
      </c>
      <c r="C123" s="49" t="s">
        <v>1044</v>
      </c>
      <c r="D123" s="547" t="s">
        <v>1013</v>
      </c>
      <c r="E123" s="36"/>
      <c r="F123" s="36"/>
      <c r="G123" s="36"/>
      <c r="H123" s="36"/>
      <c r="I123" s="36"/>
      <c r="J123" s="36"/>
      <c r="K123" s="36"/>
      <c r="L123" s="36"/>
      <c r="M123" s="36"/>
      <c r="N123" s="36"/>
      <c r="O123" s="36"/>
      <c r="P123" s="36"/>
      <c r="Q123" s="36"/>
      <c r="R123" s="36"/>
    </row>
    <row r="124" spans="1:18" x14ac:dyDescent="0.25">
      <c r="A124" s="50" t="s">
        <v>555</v>
      </c>
      <c r="B124" s="87">
        <v>6484.22</v>
      </c>
      <c r="C124" s="543">
        <f>B124*'Energy Content Assumptions'!C33</f>
        <v>5835.7980000000007</v>
      </c>
      <c r="D124" s="36"/>
      <c r="E124" s="36"/>
      <c r="F124" s="36"/>
      <c r="G124" s="36"/>
      <c r="H124" s="36"/>
      <c r="I124" s="36"/>
      <c r="J124" s="36"/>
      <c r="K124" s="36"/>
      <c r="L124" s="36"/>
      <c r="M124" s="36"/>
      <c r="N124" s="36"/>
      <c r="O124" s="36"/>
      <c r="P124" s="36"/>
      <c r="Q124" s="36"/>
      <c r="R124" s="36"/>
    </row>
    <row r="125" spans="1:18" x14ac:dyDescent="0.25">
      <c r="A125" s="50" t="s">
        <v>556</v>
      </c>
      <c r="B125" s="87">
        <v>755.47</v>
      </c>
      <c r="C125" s="543">
        <f>B125*'Energy Content Assumptions'!C34</f>
        <v>679.923</v>
      </c>
      <c r="D125" s="36"/>
      <c r="E125" s="36"/>
      <c r="F125" s="36"/>
      <c r="G125" s="36"/>
      <c r="H125" s="36"/>
      <c r="I125" s="36"/>
      <c r="J125" s="36"/>
      <c r="K125" s="36"/>
      <c r="L125" s="36"/>
      <c r="M125" s="36"/>
      <c r="N125" s="36"/>
      <c r="O125" s="36"/>
      <c r="P125" s="36"/>
      <c r="Q125" s="36"/>
      <c r="R125" s="36"/>
    </row>
    <row r="126" spans="1:18" x14ac:dyDescent="0.25">
      <c r="A126" s="50" t="s">
        <v>557</v>
      </c>
      <c r="B126" s="87">
        <v>1925.56</v>
      </c>
      <c r="C126" s="543">
        <f>B126*'Energy Content Assumptions'!C35</f>
        <v>1733.0039999999999</v>
      </c>
      <c r="D126" s="36"/>
      <c r="E126" s="36"/>
      <c r="F126" s="36"/>
      <c r="G126" s="36"/>
      <c r="H126" s="36"/>
      <c r="I126" s="36"/>
      <c r="J126" s="36"/>
      <c r="K126" s="36"/>
      <c r="L126" s="36"/>
      <c r="M126" s="36"/>
      <c r="N126" s="36"/>
      <c r="O126" s="36"/>
      <c r="P126" s="36"/>
      <c r="Q126" s="36"/>
      <c r="R126" s="36"/>
    </row>
    <row r="127" spans="1:18" x14ac:dyDescent="0.25">
      <c r="A127" s="50" t="s">
        <v>558</v>
      </c>
      <c r="B127" s="87">
        <v>1984.57</v>
      </c>
      <c r="C127" s="543">
        <f>B127*'Energy Content Assumptions'!C36</f>
        <v>1786.1130000000001</v>
      </c>
      <c r="D127" s="36"/>
      <c r="E127" s="36"/>
      <c r="F127" s="36"/>
      <c r="G127" s="36"/>
      <c r="H127" s="36"/>
      <c r="I127" s="36"/>
      <c r="J127" s="36"/>
      <c r="K127" s="36"/>
      <c r="L127" s="36"/>
      <c r="M127" s="36"/>
      <c r="N127" s="36"/>
      <c r="O127" s="36"/>
      <c r="P127" s="36"/>
      <c r="Q127" s="36"/>
      <c r="R127" s="36"/>
    </row>
    <row r="128" spans="1:18" x14ac:dyDescent="0.25">
      <c r="A128" s="50" t="s">
        <v>559</v>
      </c>
      <c r="B128" s="87">
        <v>6912.93</v>
      </c>
      <c r="C128" s="543">
        <f>B128*'Energy Content Assumptions'!C21</f>
        <v>3456.4650000000001</v>
      </c>
      <c r="D128" s="36"/>
      <c r="E128" s="36"/>
      <c r="F128" s="36"/>
      <c r="G128" s="36"/>
      <c r="H128" s="36"/>
      <c r="I128" s="36"/>
      <c r="J128" s="36"/>
      <c r="K128" s="36"/>
      <c r="L128" s="36"/>
      <c r="M128" s="36"/>
      <c r="N128" s="36"/>
      <c r="O128" s="36"/>
      <c r="P128" s="36"/>
      <c r="Q128" s="36"/>
      <c r="R128" s="36"/>
    </row>
    <row r="129" spans="1:18" x14ac:dyDescent="0.25">
      <c r="A129" s="50" t="s">
        <v>560</v>
      </c>
      <c r="B129" s="87">
        <v>824.18</v>
      </c>
      <c r="C129" s="543">
        <f>B129*'Energy Content Assumptions'!C22</f>
        <v>274.72666666666663</v>
      </c>
      <c r="D129" s="36"/>
      <c r="E129" s="36"/>
      <c r="F129" s="36"/>
      <c r="G129" s="36"/>
      <c r="H129" s="36"/>
      <c r="I129" s="36"/>
      <c r="J129" s="36"/>
      <c r="K129" s="36"/>
      <c r="L129" s="36"/>
      <c r="M129" s="36"/>
      <c r="N129" s="36"/>
      <c r="O129" s="36"/>
      <c r="P129" s="36"/>
      <c r="Q129" s="36"/>
      <c r="R129" s="36"/>
    </row>
    <row r="130" spans="1:18" x14ac:dyDescent="0.25">
      <c r="A130" s="50" t="s">
        <v>561</v>
      </c>
      <c r="B130" s="87">
        <v>2261.58</v>
      </c>
      <c r="C130" s="543">
        <f>B130*'Energy Content Assumptions'!C23</f>
        <v>753.8599999999999</v>
      </c>
      <c r="D130" s="36"/>
      <c r="E130" s="36"/>
      <c r="F130" s="36"/>
      <c r="G130" s="36"/>
      <c r="H130" s="36"/>
      <c r="I130" s="36"/>
      <c r="J130" s="36"/>
      <c r="K130" s="36"/>
      <c r="L130" s="36"/>
      <c r="M130" s="36"/>
      <c r="N130" s="36"/>
      <c r="O130" s="36"/>
      <c r="P130" s="36"/>
      <c r="Q130" s="36"/>
      <c r="R130" s="36"/>
    </row>
    <row r="131" spans="1:18" x14ac:dyDescent="0.25">
      <c r="A131" s="50" t="s">
        <v>562</v>
      </c>
      <c r="B131" s="87">
        <v>119.07</v>
      </c>
      <c r="C131" s="543">
        <f>B131*'Energy Content Assumptions'!C24</f>
        <v>59.534999999999997</v>
      </c>
      <c r="D131" s="36"/>
      <c r="E131" s="36"/>
      <c r="F131" s="36"/>
      <c r="G131" s="36"/>
      <c r="H131" s="36"/>
      <c r="I131" s="36"/>
      <c r="J131" s="36"/>
      <c r="K131" s="36"/>
      <c r="L131" s="36"/>
      <c r="M131" s="36"/>
      <c r="N131" s="36"/>
      <c r="O131" s="36"/>
      <c r="P131" s="36"/>
      <c r="Q131" s="36"/>
      <c r="R131" s="36"/>
    </row>
    <row r="132" spans="1:18" x14ac:dyDescent="0.25">
      <c r="A132" s="50" t="s">
        <v>563</v>
      </c>
      <c r="B132" s="87">
        <v>2218.36</v>
      </c>
      <c r="C132" s="543">
        <f>B132*'Energy Content Assumptions'!C31</f>
        <v>554.59</v>
      </c>
      <c r="D132" s="36"/>
      <c r="E132" s="36"/>
      <c r="F132" s="36"/>
      <c r="G132" s="36"/>
      <c r="H132" s="36"/>
      <c r="I132" s="36"/>
      <c r="J132" s="36"/>
      <c r="K132" s="36"/>
      <c r="L132" s="36"/>
      <c r="M132" s="36"/>
      <c r="N132" s="36"/>
      <c r="O132" s="36"/>
      <c r="P132" s="36"/>
      <c r="Q132" s="36"/>
      <c r="R132" s="36"/>
    </row>
    <row r="133" spans="1:18" x14ac:dyDescent="0.25">
      <c r="A133" s="50" t="s">
        <v>564</v>
      </c>
      <c r="B133" s="87">
        <v>7930.77</v>
      </c>
      <c r="C133" s="543">
        <f>B133*'Energy Content Assumptions'!C19</f>
        <v>7137.6930000000002</v>
      </c>
      <c r="D133" s="36"/>
      <c r="E133" s="36"/>
      <c r="F133" s="36"/>
      <c r="G133" s="36"/>
      <c r="H133" s="36"/>
      <c r="I133" s="36"/>
      <c r="J133" s="36"/>
      <c r="K133" s="36"/>
      <c r="L133" s="36"/>
      <c r="M133" s="36"/>
      <c r="N133" s="36"/>
      <c r="O133" s="36"/>
      <c r="P133" s="36"/>
      <c r="Q133" s="36"/>
      <c r="R133" s="36"/>
    </row>
    <row r="134" spans="1:18" x14ac:dyDescent="0.25">
      <c r="A134" s="50" t="s">
        <v>565</v>
      </c>
      <c r="B134" s="87">
        <v>879.35</v>
      </c>
      <c r="C134" s="543">
        <f>B134*'Energy Content Assumptions'!C32</f>
        <v>703.48</v>
      </c>
      <c r="D134" s="36"/>
      <c r="E134" s="36"/>
      <c r="F134" s="36"/>
      <c r="G134" s="36"/>
      <c r="H134" s="36"/>
      <c r="I134" s="36"/>
      <c r="J134" s="36"/>
      <c r="K134" s="36"/>
      <c r="L134" s="36"/>
      <c r="M134" s="36"/>
      <c r="N134" s="36"/>
      <c r="O134" s="36"/>
      <c r="P134" s="36"/>
      <c r="Q134" s="36"/>
      <c r="R134" s="36"/>
    </row>
    <row r="135" spans="1:18" x14ac:dyDescent="0.25">
      <c r="A135" s="36"/>
      <c r="B135" s="36"/>
      <c r="C135" s="36"/>
      <c r="D135" s="36"/>
      <c r="E135" s="36"/>
      <c r="F135" s="36"/>
      <c r="G135" s="36"/>
      <c r="H135" s="36"/>
      <c r="I135" s="36"/>
      <c r="J135" s="36"/>
      <c r="K135" s="36"/>
      <c r="L135" s="36"/>
      <c r="M135" s="36"/>
      <c r="N135" s="36"/>
      <c r="O135" s="36"/>
      <c r="P135" s="36"/>
      <c r="Q135" s="36"/>
      <c r="R135" s="36"/>
    </row>
    <row r="136" spans="1:18" x14ac:dyDescent="0.25">
      <c r="A136" s="49" t="s">
        <v>462</v>
      </c>
      <c r="B136" s="49" t="s">
        <v>1039</v>
      </c>
      <c r="C136" s="49" t="s">
        <v>1040</v>
      </c>
      <c r="D136" s="36"/>
      <c r="E136" s="36"/>
      <c r="F136" s="36"/>
      <c r="G136" s="36"/>
      <c r="H136" s="36"/>
      <c r="I136" s="36"/>
      <c r="J136" s="36"/>
      <c r="K136" s="36"/>
      <c r="L136" s="36"/>
      <c r="M136" s="36"/>
      <c r="N136" s="36"/>
      <c r="O136" s="36"/>
      <c r="P136" s="36"/>
      <c r="Q136" s="36"/>
      <c r="R136" s="36"/>
    </row>
    <row r="137" spans="1:18" x14ac:dyDescent="0.25">
      <c r="A137" s="50" t="s">
        <v>211</v>
      </c>
      <c r="B137" s="87">
        <f>'Biomass Data Assumptions'!$M$27</f>
        <v>97843.9</v>
      </c>
      <c r="C137" s="544"/>
      <c r="D137" s="546" t="s">
        <v>1016</v>
      </c>
      <c r="E137" s="36"/>
      <c r="F137" s="36"/>
      <c r="G137" s="36"/>
      <c r="H137" s="36"/>
      <c r="I137" s="36"/>
      <c r="J137" s="36"/>
      <c r="K137" s="36"/>
      <c r="L137" s="36"/>
      <c r="M137" s="36"/>
      <c r="N137" s="36"/>
      <c r="O137" s="36"/>
      <c r="P137" s="36"/>
      <c r="Q137" s="36"/>
      <c r="R137" s="36"/>
    </row>
    <row r="138" spans="1:18" x14ac:dyDescent="0.25">
      <c r="A138" s="50" t="s">
        <v>208</v>
      </c>
      <c r="B138" s="87">
        <f>'Biomass Data Assumptions'!$F$27</f>
        <v>66483.95</v>
      </c>
      <c r="C138" s="543">
        <f>B138*'Energy Content Assumptions'!$C$28</f>
        <v>33241.974999999999</v>
      </c>
      <c r="D138" s="546" t="s">
        <v>1016</v>
      </c>
      <c r="E138" s="36"/>
      <c r="F138" s="36"/>
      <c r="G138" s="36"/>
      <c r="H138" s="36"/>
      <c r="I138" s="36"/>
      <c r="J138" s="36"/>
      <c r="K138" s="36"/>
      <c r="L138" s="36"/>
      <c r="M138" s="36"/>
      <c r="N138" s="36"/>
      <c r="O138" s="36"/>
      <c r="P138" s="36"/>
      <c r="Q138" s="36"/>
      <c r="R138" s="36"/>
    </row>
    <row r="139" spans="1:18" x14ac:dyDescent="0.25">
      <c r="A139" s="50" t="s">
        <v>209</v>
      </c>
      <c r="B139" s="87">
        <f>'Biomass Data Assumptions'!$H$27</f>
        <v>51546.8</v>
      </c>
      <c r="C139" s="543"/>
      <c r="D139" s="36" t="s">
        <v>1020</v>
      </c>
      <c r="E139" s="36"/>
      <c r="F139" s="36"/>
      <c r="G139" s="36"/>
      <c r="H139" s="36"/>
      <c r="I139" s="36"/>
      <c r="J139" s="36"/>
      <c r="K139" s="36"/>
      <c r="L139" s="36"/>
      <c r="M139" s="36"/>
      <c r="N139" s="36"/>
      <c r="O139" s="36"/>
      <c r="P139" s="36"/>
      <c r="Q139" s="36"/>
      <c r="R139" s="36"/>
    </row>
    <row r="140" spans="1:18" x14ac:dyDescent="0.25">
      <c r="A140" s="50" t="s">
        <v>210</v>
      </c>
      <c r="B140" s="87">
        <f>'Biomass Data Assumptions'!$I$27</f>
        <v>14937.149999999994</v>
      </c>
      <c r="C140" s="543">
        <f>B140*'Energy Content Assumptions'!$C$28</f>
        <v>7468.5749999999971</v>
      </c>
      <c r="D140" s="36" t="s">
        <v>1021</v>
      </c>
      <c r="E140" s="36"/>
      <c r="F140" s="36"/>
      <c r="G140" s="36"/>
      <c r="H140" s="36"/>
      <c r="I140" s="36"/>
      <c r="J140" s="36"/>
      <c r="K140" s="36"/>
      <c r="L140" s="36"/>
      <c r="M140" s="36"/>
      <c r="N140" s="36"/>
      <c r="O140" s="36"/>
      <c r="P140" s="36"/>
      <c r="Q140" s="36"/>
      <c r="R140" s="36"/>
    </row>
    <row r="141" spans="1:18" x14ac:dyDescent="0.25">
      <c r="A141" s="50" t="str">
        <f>'Bioenergy Calculator'!B35</f>
        <v>Food waste, Landfilled</v>
      </c>
      <c r="B141" s="87">
        <f>IF('Bioenergy Calculator'!H75="No",'Biomass Data Assumptions'!J27,'Biomass Data Assumptions'!F27*'Biomass Data Assumptions'!I41)</f>
        <v>2363.0571299999992</v>
      </c>
      <c r="C141" s="543">
        <f>B141*'Energy Content Assumptions'!C26</f>
        <v>708.91713899999979</v>
      </c>
      <c r="D141" s="36" t="s">
        <v>1063</v>
      </c>
      <c r="E141" s="36"/>
      <c r="F141" s="36"/>
      <c r="G141" s="36"/>
      <c r="H141" s="36"/>
      <c r="I141" s="36"/>
      <c r="J141" s="36"/>
      <c r="K141" s="36"/>
      <c r="L141" s="36"/>
      <c r="M141" s="36"/>
      <c r="N141" s="36"/>
      <c r="O141" s="36"/>
      <c r="P141" s="36"/>
      <c r="Q141" s="36"/>
      <c r="R141" s="36"/>
    </row>
    <row r="142" spans="1:18" x14ac:dyDescent="0.25">
      <c r="A142" s="50" t="str">
        <f>'Bioenergy Calculator'!B36</f>
        <v>Waste paper, Landfilled</v>
      </c>
      <c r="B142" s="87">
        <f>IF('Bioenergy Calculator'!H75="No",'Biomass Data Assumptions'!K27,'Biomass Data Assumptions'!F27*'Biomass Data Assumptions'!I42)</f>
        <v>2905.275674999999</v>
      </c>
      <c r="C142" s="543">
        <f>B142*'Energy Content Assumptions'!C27</f>
        <v>2614.7481074999992</v>
      </c>
      <c r="D142" s="36" t="s">
        <v>1063</v>
      </c>
      <c r="E142" s="36"/>
      <c r="F142" s="36"/>
      <c r="G142" s="36"/>
      <c r="H142" s="36"/>
      <c r="I142" s="36"/>
      <c r="J142" s="36"/>
      <c r="K142" s="36"/>
      <c r="L142" s="36"/>
      <c r="M142" s="36"/>
      <c r="N142" s="36"/>
      <c r="O142" s="36"/>
      <c r="P142" s="36"/>
      <c r="Q142" s="36"/>
      <c r="R142" s="36"/>
    </row>
    <row r="143" spans="1:18" x14ac:dyDescent="0.25">
      <c r="A143" s="50" t="str">
        <f>'Bioenergy Calculator'!B37</f>
        <v>Other Biomass, Landfilled</v>
      </c>
      <c r="B143" s="87">
        <f>IF('Bioenergy Calculator'!H75="No",'Biomass Data Assumptions'!L27,'Biomass Data Assumptions'!F27*'Biomass Data Assumptions'!I43)</f>
        <v>4022.574494999998</v>
      </c>
      <c r="C143" s="543">
        <f>B143*'Energy Content Assumptions'!$C$28</f>
        <v>2011.287247499999</v>
      </c>
      <c r="D143" s="546" t="s">
        <v>1064</v>
      </c>
      <c r="E143" s="36"/>
      <c r="F143" s="36"/>
      <c r="G143" s="36"/>
      <c r="H143" s="36"/>
      <c r="I143" s="36"/>
      <c r="J143" s="36"/>
      <c r="K143" s="36"/>
      <c r="L143" s="36"/>
      <c r="M143" s="36"/>
      <c r="N143" s="36"/>
      <c r="O143" s="36"/>
      <c r="P143" s="36"/>
      <c r="Q143" s="36"/>
      <c r="R143" s="36"/>
    </row>
    <row r="144" spans="1:18" x14ac:dyDescent="0.25">
      <c r="A144" s="50" t="s">
        <v>463</v>
      </c>
      <c r="B144" s="87">
        <v>2730.73</v>
      </c>
      <c r="C144" s="543">
        <f>B144*'Energy Content Assumptions'!C29</f>
        <v>2184.5840000000003</v>
      </c>
      <c r="D144" s="151" t="s">
        <v>206</v>
      </c>
      <c r="E144" s="36"/>
      <c r="F144" s="36"/>
      <c r="G144" s="36"/>
      <c r="H144" s="36"/>
      <c r="I144" s="36"/>
      <c r="J144" s="36"/>
      <c r="K144" s="36"/>
      <c r="L144" s="36"/>
      <c r="M144" s="36"/>
      <c r="N144" s="36"/>
      <c r="O144" s="36"/>
      <c r="P144" s="36"/>
      <c r="Q144" s="36"/>
      <c r="R144" s="36"/>
    </row>
    <row r="145" spans="1:18" x14ac:dyDescent="0.25">
      <c r="A145" s="709" t="s">
        <v>179</v>
      </c>
      <c r="B145" s="710">
        <v>0.4</v>
      </c>
      <c r="C145" s="543">
        <f>C144*B145</f>
        <v>873.83360000000016</v>
      </c>
      <c r="D145" s="36" t="s">
        <v>1202</v>
      </c>
      <c r="E145" s="36"/>
      <c r="F145" s="36"/>
      <c r="G145" s="36"/>
      <c r="H145" s="36"/>
      <c r="I145" s="36"/>
      <c r="J145" s="36"/>
      <c r="K145" s="36"/>
      <c r="L145" s="36"/>
      <c r="M145" s="36"/>
      <c r="N145" s="36"/>
      <c r="O145" s="36"/>
      <c r="P145" s="36"/>
      <c r="Q145" s="36"/>
      <c r="R145" s="36"/>
    </row>
    <row r="146" spans="1:18" x14ac:dyDescent="0.25">
      <c r="A146" s="712"/>
      <c r="B146" s="713"/>
      <c r="C146" s="543"/>
      <c r="D146" s="150" t="s">
        <v>1553</v>
      </c>
      <c r="E146" s="36"/>
      <c r="F146" s="36"/>
      <c r="G146" s="36"/>
      <c r="H146" s="36"/>
      <c r="I146" s="36"/>
      <c r="J146" s="36"/>
      <c r="K146" s="36"/>
      <c r="L146" s="36"/>
      <c r="M146" s="36"/>
      <c r="N146" s="36"/>
      <c r="O146" s="36"/>
      <c r="P146" s="36"/>
      <c r="Q146" s="36"/>
      <c r="R146" s="36"/>
    </row>
    <row r="147" spans="1:18" x14ac:dyDescent="0.25">
      <c r="A147" s="1238" t="s">
        <v>1568</v>
      </c>
      <c r="B147" s="49" t="s">
        <v>1039</v>
      </c>
      <c r="C147" s="49" t="s">
        <v>1571</v>
      </c>
      <c r="D147" s="150"/>
      <c r="E147" s="36"/>
      <c r="F147" s="36"/>
      <c r="G147" s="36"/>
      <c r="H147" s="36"/>
      <c r="I147" s="36"/>
      <c r="J147" s="36"/>
      <c r="K147" s="36"/>
      <c r="L147" s="36"/>
      <c r="M147" s="36"/>
      <c r="N147" s="36"/>
      <c r="O147" s="36"/>
      <c r="P147" s="36"/>
      <c r="Q147" s="36"/>
      <c r="R147" s="36"/>
    </row>
    <row r="148" spans="1:18" x14ac:dyDescent="0.25">
      <c r="A148" s="1236" t="s">
        <v>508</v>
      </c>
      <c r="B148" s="549">
        <f>'Biomass Data Assumptions'!R27/2000</f>
        <v>478.24480000000005</v>
      </c>
      <c r="C148" s="1239">
        <f>B148*'Energy Content Assumptions'!C39</f>
        <v>406.50808000000006</v>
      </c>
      <c r="D148" s="150" t="s">
        <v>1569</v>
      </c>
      <c r="E148" s="36"/>
      <c r="F148" s="36"/>
      <c r="G148" s="36"/>
      <c r="H148" s="36"/>
      <c r="I148" s="36"/>
      <c r="J148" s="36"/>
      <c r="K148" s="36"/>
      <c r="L148" s="36"/>
      <c r="M148" s="36"/>
      <c r="N148" s="36"/>
      <c r="O148" s="36"/>
      <c r="P148" s="36"/>
      <c r="Q148" s="36"/>
      <c r="R148" s="36"/>
    </row>
    <row r="149" spans="1:18" x14ac:dyDescent="0.25">
      <c r="A149" s="1236" t="s">
        <v>509</v>
      </c>
      <c r="B149" s="549">
        <f>'Biomass Data Assumptions'!S27/2000</f>
        <v>726.60601999999994</v>
      </c>
      <c r="C149" s="1239">
        <f>B149*'Energy Content Assumptions'!C40</f>
        <v>36.330300999999999</v>
      </c>
      <c r="D149" s="150" t="s">
        <v>1570</v>
      </c>
      <c r="E149" s="36"/>
      <c r="F149" s="36"/>
      <c r="G149" s="36"/>
      <c r="H149" s="36"/>
      <c r="I149" s="36"/>
      <c r="J149" s="36"/>
      <c r="K149" s="36"/>
      <c r="L149" s="36"/>
      <c r="M149" s="36"/>
      <c r="N149" s="36"/>
      <c r="O149" s="36"/>
      <c r="P149" s="36"/>
      <c r="Q149" s="36"/>
      <c r="R149" s="36"/>
    </row>
    <row r="150" spans="1:18" x14ac:dyDescent="0.25">
      <c r="A150" s="36"/>
      <c r="B150" s="36"/>
      <c r="C150" s="36"/>
      <c r="D150" s="36"/>
      <c r="E150" s="36"/>
      <c r="F150" s="36"/>
      <c r="G150" s="36"/>
      <c r="H150" s="36"/>
      <c r="I150" s="36"/>
      <c r="J150" s="36"/>
      <c r="K150" s="36"/>
      <c r="L150" s="36"/>
      <c r="M150" s="36"/>
      <c r="N150" s="36"/>
      <c r="O150" s="36"/>
      <c r="P150" s="36"/>
      <c r="Q150" s="36"/>
      <c r="R150" s="36"/>
    </row>
    <row r="151" spans="1:18" x14ac:dyDescent="0.25">
      <c r="A151" s="36"/>
      <c r="B151" s="36"/>
      <c r="C151" s="36"/>
      <c r="D151" s="36"/>
      <c r="E151" s="36"/>
      <c r="F151" s="36"/>
      <c r="G151" s="36"/>
      <c r="H151" s="36"/>
      <c r="I151" s="36"/>
      <c r="J151" s="36"/>
      <c r="K151" s="36"/>
      <c r="L151" s="36"/>
      <c r="M151" s="36"/>
      <c r="N151" s="36"/>
      <c r="O151" s="36"/>
      <c r="P151" s="36"/>
      <c r="Q151" s="36"/>
      <c r="R151" s="36"/>
    </row>
    <row r="152" spans="1:18" x14ac:dyDescent="0.25">
      <c r="A152" s="36"/>
      <c r="B152" s="36"/>
      <c r="C152" s="36"/>
      <c r="D152" s="36"/>
      <c r="E152" s="36"/>
      <c r="F152" s="36"/>
      <c r="G152" s="36"/>
      <c r="H152" s="36"/>
      <c r="I152" s="36"/>
      <c r="J152" s="36"/>
      <c r="K152" s="36"/>
      <c r="L152" s="36"/>
      <c r="M152" s="36"/>
      <c r="N152" s="36"/>
      <c r="O152" s="36"/>
      <c r="P152" s="36"/>
      <c r="Q152" s="36"/>
      <c r="R152" s="36"/>
    </row>
    <row r="153" spans="1:18" x14ac:dyDescent="0.25">
      <c r="A153" s="36"/>
      <c r="B153" s="36"/>
      <c r="C153" s="36"/>
      <c r="D153" s="36"/>
      <c r="E153" s="36"/>
      <c r="F153" s="36"/>
      <c r="G153" s="36"/>
      <c r="H153" s="36"/>
      <c r="I153" s="36"/>
      <c r="J153" s="36"/>
      <c r="K153" s="36"/>
      <c r="L153" s="36"/>
      <c r="M153" s="36"/>
      <c r="N153" s="36"/>
      <c r="O153" s="36"/>
      <c r="P153" s="36"/>
      <c r="Q153" s="36"/>
      <c r="R153" s="36"/>
    </row>
    <row r="154" spans="1:18" x14ac:dyDescent="0.25">
      <c r="A154" s="36"/>
      <c r="B154" s="36"/>
      <c r="C154" s="36"/>
      <c r="D154" s="36"/>
      <c r="E154" s="36"/>
      <c r="F154" s="36"/>
      <c r="G154" s="36"/>
      <c r="H154" s="36"/>
      <c r="I154" s="36"/>
      <c r="J154" s="36"/>
      <c r="K154" s="36"/>
      <c r="L154" s="36"/>
      <c r="M154" s="36"/>
      <c r="N154" s="36"/>
      <c r="O154" s="36"/>
      <c r="P154" s="36"/>
      <c r="Q154" s="36"/>
      <c r="R154" s="36"/>
    </row>
    <row r="155" spans="1:18" x14ac:dyDescent="0.25">
      <c r="A155" s="36"/>
      <c r="B155" s="36"/>
      <c r="C155" s="36"/>
      <c r="D155" s="36"/>
      <c r="E155" s="36"/>
      <c r="F155" s="36"/>
      <c r="G155" s="36"/>
      <c r="H155" s="36"/>
      <c r="I155" s="36"/>
      <c r="J155" s="36"/>
      <c r="K155" s="36"/>
      <c r="L155" s="36"/>
      <c r="M155" s="36"/>
      <c r="N155" s="36"/>
      <c r="O155" s="36"/>
      <c r="P155" s="36"/>
      <c r="Q155" s="36"/>
      <c r="R155" s="36"/>
    </row>
    <row r="156" spans="1:18" x14ac:dyDescent="0.25">
      <c r="A156" s="36"/>
      <c r="B156" s="36"/>
      <c r="C156" s="36"/>
      <c r="D156" s="36"/>
      <c r="E156" s="36"/>
      <c r="F156" s="36"/>
      <c r="G156" s="36"/>
      <c r="H156" s="36"/>
      <c r="I156" s="36"/>
      <c r="J156" s="36"/>
      <c r="K156" s="36"/>
      <c r="L156" s="36"/>
      <c r="M156" s="36"/>
      <c r="N156" s="36"/>
      <c r="O156" s="36"/>
      <c r="P156" s="36"/>
      <c r="Q156" s="36"/>
      <c r="R156" s="36"/>
    </row>
    <row r="157" spans="1:18" x14ac:dyDescent="0.25">
      <c r="A157" s="36"/>
      <c r="B157" s="36"/>
      <c r="C157" s="36"/>
      <c r="D157" s="36"/>
      <c r="E157" s="36"/>
      <c r="F157" s="36"/>
      <c r="G157" s="36"/>
      <c r="H157" s="36"/>
      <c r="I157" s="36"/>
      <c r="J157" s="36"/>
      <c r="K157" s="36"/>
      <c r="L157" s="36"/>
      <c r="M157" s="36"/>
      <c r="N157" s="36"/>
      <c r="O157" s="36"/>
      <c r="P157" s="36"/>
      <c r="Q157" s="36"/>
      <c r="R157" s="36"/>
    </row>
    <row r="158" spans="1:18" x14ac:dyDescent="0.25">
      <c r="A158" s="36"/>
      <c r="B158" s="36"/>
      <c r="C158" s="36"/>
      <c r="D158" s="36"/>
      <c r="E158" s="36"/>
      <c r="F158" s="36"/>
      <c r="G158" s="36"/>
      <c r="H158" s="36"/>
      <c r="I158" s="36"/>
      <c r="J158" s="36"/>
      <c r="K158" s="36"/>
      <c r="L158" s="36"/>
      <c r="M158" s="36"/>
      <c r="N158" s="36"/>
      <c r="O158" s="36"/>
      <c r="P158" s="36"/>
      <c r="Q158" s="36"/>
      <c r="R158" s="36"/>
    </row>
    <row r="159" spans="1:18" x14ac:dyDescent="0.25">
      <c r="A159" s="36"/>
      <c r="B159" s="36"/>
      <c r="C159" s="36"/>
      <c r="D159" s="36"/>
      <c r="E159" s="36"/>
      <c r="F159" s="36"/>
      <c r="G159" s="36"/>
      <c r="H159" s="36"/>
      <c r="I159" s="36"/>
      <c r="J159" s="36"/>
      <c r="K159" s="36"/>
      <c r="L159" s="36"/>
      <c r="M159" s="36"/>
      <c r="N159" s="36"/>
      <c r="O159" s="36"/>
      <c r="P159" s="36"/>
      <c r="Q159" s="36"/>
      <c r="R159" s="36"/>
    </row>
    <row r="160" spans="1:18" x14ac:dyDescent="0.25">
      <c r="A160" s="36"/>
      <c r="B160" s="36"/>
      <c r="C160" s="36"/>
      <c r="D160" s="36"/>
      <c r="E160" s="36"/>
      <c r="F160" s="36"/>
      <c r="G160" s="36"/>
      <c r="H160" s="36"/>
      <c r="I160" s="36"/>
      <c r="J160" s="36"/>
      <c r="K160" s="36"/>
      <c r="L160" s="36"/>
      <c r="M160" s="36"/>
      <c r="N160" s="36"/>
      <c r="O160" s="36"/>
      <c r="P160" s="36"/>
      <c r="Q160" s="36"/>
      <c r="R160" s="36"/>
    </row>
    <row r="161" spans="1:18" x14ac:dyDescent="0.25">
      <c r="A161" s="36"/>
      <c r="B161" s="36"/>
      <c r="C161" s="36"/>
      <c r="D161" s="36"/>
      <c r="E161" s="36"/>
      <c r="F161" s="36"/>
      <c r="G161" s="36"/>
      <c r="H161" s="36"/>
      <c r="I161" s="36"/>
      <c r="J161" s="36"/>
      <c r="K161" s="36"/>
      <c r="L161" s="36"/>
      <c r="M161" s="36"/>
      <c r="N161" s="36"/>
      <c r="O161" s="36"/>
      <c r="P161" s="36"/>
      <c r="Q161" s="36"/>
      <c r="R161" s="36"/>
    </row>
    <row r="162" spans="1:18" x14ac:dyDescent="0.25">
      <c r="A162" s="36"/>
      <c r="B162" s="36"/>
      <c r="C162" s="36"/>
      <c r="D162" s="36"/>
      <c r="E162" s="36"/>
      <c r="F162" s="36"/>
      <c r="G162" s="36"/>
      <c r="H162" s="36"/>
      <c r="I162" s="36"/>
      <c r="J162" s="36"/>
      <c r="K162" s="36"/>
      <c r="L162" s="36"/>
      <c r="M162" s="36"/>
      <c r="N162" s="36"/>
      <c r="O162" s="36"/>
      <c r="P162" s="36"/>
      <c r="Q162" s="36"/>
      <c r="R162" s="36"/>
    </row>
    <row r="163" spans="1:18" x14ac:dyDescent="0.25">
      <c r="A163" s="36"/>
      <c r="B163" s="36"/>
      <c r="C163" s="36"/>
      <c r="D163" s="36"/>
      <c r="E163" s="36"/>
      <c r="F163" s="36"/>
      <c r="G163" s="36"/>
      <c r="H163" s="36"/>
      <c r="I163" s="36"/>
      <c r="J163" s="36"/>
      <c r="K163" s="36"/>
      <c r="L163" s="36"/>
      <c r="M163" s="36"/>
      <c r="N163" s="36"/>
      <c r="O163" s="36"/>
      <c r="P163" s="36"/>
      <c r="Q163" s="36"/>
      <c r="R163" s="36"/>
    </row>
    <row r="164" spans="1:18" x14ac:dyDescent="0.25">
      <c r="A164" s="36"/>
      <c r="B164" s="36"/>
      <c r="C164" s="36"/>
      <c r="D164" s="36"/>
      <c r="E164" s="36"/>
      <c r="F164" s="36"/>
      <c r="G164" s="36"/>
      <c r="H164" s="36"/>
      <c r="I164" s="36"/>
      <c r="J164" s="36"/>
      <c r="K164" s="36"/>
      <c r="L164" s="36"/>
      <c r="M164" s="36"/>
      <c r="N164" s="36"/>
      <c r="O164" s="36"/>
      <c r="P164" s="36"/>
      <c r="Q164" s="36"/>
      <c r="R164" s="36"/>
    </row>
    <row r="165" spans="1:18" x14ac:dyDescent="0.25">
      <c r="A165" s="36"/>
      <c r="B165" s="36"/>
      <c r="C165" s="36"/>
      <c r="D165" s="36"/>
      <c r="E165" s="36"/>
      <c r="F165" s="36"/>
      <c r="G165" s="36"/>
      <c r="H165" s="36"/>
      <c r="I165" s="36"/>
      <c r="J165" s="36"/>
      <c r="K165" s="36"/>
      <c r="L165" s="36"/>
      <c r="M165" s="36"/>
      <c r="N165" s="36"/>
      <c r="O165" s="36"/>
      <c r="P165" s="36"/>
      <c r="Q165" s="36"/>
      <c r="R165" s="36"/>
    </row>
    <row r="166" spans="1:18" x14ac:dyDescent="0.25">
      <c r="A166" s="36"/>
      <c r="B166" s="36"/>
      <c r="C166" s="36"/>
      <c r="D166" s="36"/>
      <c r="E166" s="36"/>
      <c r="F166" s="36"/>
      <c r="G166" s="36"/>
      <c r="H166" s="36"/>
      <c r="I166" s="36"/>
      <c r="J166" s="36"/>
      <c r="K166" s="36"/>
      <c r="L166" s="36"/>
      <c r="M166" s="36"/>
      <c r="N166" s="36"/>
      <c r="O166" s="36"/>
      <c r="P166" s="36"/>
      <c r="Q166" s="36"/>
      <c r="R166" s="36"/>
    </row>
    <row r="167" spans="1:18" x14ac:dyDescent="0.25">
      <c r="A167" s="36"/>
      <c r="B167" s="36"/>
      <c r="C167" s="36"/>
      <c r="D167" s="36"/>
      <c r="E167" s="36"/>
      <c r="F167" s="36"/>
      <c r="G167" s="36"/>
      <c r="H167" s="36"/>
      <c r="I167" s="36"/>
      <c r="J167" s="36"/>
      <c r="K167" s="36"/>
      <c r="L167" s="36"/>
      <c r="M167" s="36"/>
      <c r="N167" s="36"/>
      <c r="O167" s="36"/>
      <c r="P167" s="36"/>
      <c r="Q167" s="36"/>
      <c r="R167" s="36"/>
    </row>
    <row r="168" spans="1:18" x14ac:dyDescent="0.25">
      <c r="A168" s="36"/>
      <c r="B168" s="36"/>
      <c r="C168" s="36"/>
      <c r="D168" s="36"/>
      <c r="E168" s="36"/>
      <c r="F168" s="36"/>
      <c r="G168" s="36"/>
      <c r="H168" s="36"/>
      <c r="I168" s="36"/>
      <c r="J168" s="36"/>
      <c r="K168" s="36"/>
      <c r="L168" s="36"/>
      <c r="M168" s="36"/>
      <c r="N168" s="36"/>
      <c r="O168" s="36"/>
      <c r="P168" s="36"/>
      <c r="Q168" s="36"/>
      <c r="R168" s="36"/>
    </row>
    <row r="169" spans="1:18" x14ac:dyDescent="0.25">
      <c r="A169" s="36"/>
      <c r="B169" s="36"/>
      <c r="C169" s="36"/>
      <c r="D169" s="36"/>
      <c r="E169" s="36"/>
      <c r="F169" s="36"/>
      <c r="G169" s="36"/>
      <c r="H169" s="36"/>
      <c r="I169" s="36"/>
      <c r="J169" s="36"/>
      <c r="K169" s="36"/>
      <c r="L169" s="36"/>
      <c r="M169" s="36"/>
      <c r="N169" s="36"/>
      <c r="O169" s="36"/>
      <c r="P169" s="36"/>
      <c r="Q169" s="36"/>
      <c r="R169" s="36"/>
    </row>
    <row r="170" spans="1:18" x14ac:dyDescent="0.25">
      <c r="A170" s="36"/>
      <c r="B170" s="36"/>
      <c r="C170" s="36"/>
      <c r="D170" s="36"/>
      <c r="E170" s="36"/>
      <c r="F170" s="36"/>
      <c r="G170" s="36"/>
      <c r="H170" s="36"/>
      <c r="I170" s="36"/>
      <c r="J170" s="36"/>
      <c r="K170" s="36"/>
      <c r="L170" s="36"/>
      <c r="M170" s="36"/>
      <c r="N170" s="36"/>
      <c r="O170" s="36"/>
      <c r="P170" s="36"/>
      <c r="Q170" s="36"/>
      <c r="R170" s="36"/>
    </row>
    <row r="171" spans="1:18" x14ac:dyDescent="0.25">
      <c r="P171" s="36"/>
      <c r="Q171" s="36"/>
      <c r="R171" s="36"/>
    </row>
    <row r="172" spans="1:18" x14ac:dyDescent="0.25">
      <c r="P172" s="36"/>
      <c r="Q172" s="36"/>
      <c r="R172" s="36"/>
    </row>
    <row r="173" spans="1:18" x14ac:dyDescent="0.25">
      <c r="P173" s="36"/>
      <c r="Q173" s="36"/>
      <c r="R173" s="36"/>
    </row>
    <row r="174" spans="1:18" x14ac:dyDescent="0.25">
      <c r="P174" s="36"/>
      <c r="Q174" s="36"/>
      <c r="R174" s="36"/>
    </row>
    <row r="175" spans="1:18" x14ac:dyDescent="0.25">
      <c r="P175" s="36"/>
      <c r="Q175" s="36"/>
      <c r="R175" s="36"/>
    </row>
    <row r="176" spans="1:18" x14ac:dyDescent="0.25">
      <c r="P176" s="36"/>
      <c r="Q176" s="36"/>
      <c r="R176" s="36"/>
    </row>
    <row r="177" spans="16:18" x14ac:dyDescent="0.25">
      <c r="P177" s="36"/>
      <c r="Q177" s="36"/>
      <c r="R177" s="36"/>
    </row>
    <row r="178" spans="16:18" x14ac:dyDescent="0.25">
      <c r="P178" s="36"/>
      <c r="Q178" s="36"/>
      <c r="R178" s="36"/>
    </row>
    <row r="179" spans="16:18" x14ac:dyDescent="0.25">
      <c r="P179" s="36"/>
      <c r="Q179" s="36"/>
      <c r="R179" s="36"/>
    </row>
    <row r="180" spans="16:18" x14ac:dyDescent="0.25">
      <c r="P180" s="36"/>
      <c r="Q180" s="36"/>
      <c r="R180" s="36"/>
    </row>
    <row r="181" spans="16:18" x14ac:dyDescent="0.25">
      <c r="P181" s="36"/>
      <c r="Q181" s="36"/>
      <c r="R181" s="36"/>
    </row>
    <row r="182" spans="16:18" x14ac:dyDescent="0.25">
      <c r="P182" s="36"/>
      <c r="Q182" s="36"/>
      <c r="R182" s="36"/>
    </row>
    <row r="183" spans="16:18" x14ac:dyDescent="0.25">
      <c r="P183" s="36"/>
      <c r="Q183" s="36"/>
      <c r="R183" s="36"/>
    </row>
    <row r="184" spans="16:18" x14ac:dyDescent="0.25">
      <c r="P184" s="36"/>
      <c r="Q184" s="36"/>
      <c r="R184" s="36"/>
    </row>
    <row r="185" spans="16:18" x14ac:dyDescent="0.25">
      <c r="P185" s="36"/>
      <c r="Q185" s="36"/>
      <c r="R185" s="36"/>
    </row>
    <row r="186" spans="16:18" x14ac:dyDescent="0.25">
      <c r="P186" s="36"/>
      <c r="Q186" s="36"/>
      <c r="R186" s="36"/>
    </row>
    <row r="187" spans="16:18" x14ac:dyDescent="0.25">
      <c r="P187" s="36"/>
      <c r="Q187" s="36"/>
      <c r="R187" s="36"/>
    </row>
    <row r="188" spans="16:18" x14ac:dyDescent="0.25">
      <c r="P188" s="36"/>
      <c r="Q188" s="36"/>
      <c r="R188" s="36"/>
    </row>
    <row r="189" spans="16:18" x14ac:dyDescent="0.25">
      <c r="P189" s="36"/>
      <c r="Q189" s="36"/>
      <c r="R189" s="36"/>
    </row>
    <row r="190" spans="16:18" x14ac:dyDescent="0.25">
      <c r="P190" s="36"/>
      <c r="Q190" s="36"/>
      <c r="R190" s="36"/>
    </row>
    <row r="191" spans="16:18" x14ac:dyDescent="0.25">
      <c r="P191" s="36"/>
      <c r="Q191" s="36"/>
      <c r="R191" s="36"/>
    </row>
    <row r="192" spans="16:18" x14ac:dyDescent="0.25">
      <c r="P192" s="36"/>
      <c r="Q192" s="36"/>
      <c r="R192" s="36"/>
    </row>
    <row r="193" spans="16:18" x14ac:dyDescent="0.25">
      <c r="P193" s="36"/>
      <c r="Q193" s="36"/>
      <c r="R193" s="36"/>
    </row>
    <row r="194" spans="16:18" x14ac:dyDescent="0.25">
      <c r="P194" s="36"/>
      <c r="Q194" s="36"/>
      <c r="R194" s="36"/>
    </row>
    <row r="195" spans="16:18" x14ac:dyDescent="0.25">
      <c r="P195" s="36"/>
      <c r="Q195" s="36"/>
      <c r="R195" s="36"/>
    </row>
    <row r="196" spans="16:18" x14ac:dyDescent="0.25">
      <c r="P196" s="36"/>
      <c r="Q196" s="36"/>
      <c r="R196" s="36"/>
    </row>
    <row r="197" spans="16:18" x14ac:dyDescent="0.25">
      <c r="P197" s="36"/>
      <c r="Q197" s="36"/>
      <c r="R197" s="36"/>
    </row>
    <row r="198" spans="16:18" x14ac:dyDescent="0.25">
      <c r="P198" s="36"/>
      <c r="Q198" s="36"/>
      <c r="R198" s="36"/>
    </row>
    <row r="199" spans="16:18" x14ac:dyDescent="0.25">
      <c r="P199" s="36"/>
      <c r="Q199" s="36"/>
      <c r="R199" s="36"/>
    </row>
  </sheetData>
  <mergeCells count="15">
    <mergeCell ref="A3:A4"/>
    <mergeCell ref="B3:B4"/>
    <mergeCell ref="C3:C4"/>
    <mergeCell ref="A51:A67"/>
    <mergeCell ref="A5:A11"/>
    <mergeCell ref="A13:A29"/>
    <mergeCell ref="A31:A43"/>
    <mergeCell ref="A45:A49"/>
    <mergeCell ref="I1:L1"/>
    <mergeCell ref="M1:P1"/>
    <mergeCell ref="Q3:Q4"/>
    <mergeCell ref="D3:D4"/>
    <mergeCell ref="I3:L3"/>
    <mergeCell ref="M3:P3"/>
    <mergeCell ref="E3:H3"/>
  </mergeCells>
  <phoneticPr fontId="0" type="noConversion"/>
  <pageMargins left="0.75" right="0.75" top="1" bottom="1" header="0.5" footer="0.5"/>
  <pageSetup paperSize="5" scale="50" orientation="landscape" r:id="rId1"/>
  <headerFooter alignWithMargins="0">
    <oddFooter>&amp;L&amp;"Arial,Italic" 7/02/07&amp;C&amp;"Arial,Italic"&amp;A&amp;R&amp;"Arial,Italic"NJAES Report 2007-1 ©2007
New Jersey Agricultural Experiment Station</oddFooter>
  </headerFooter>
  <ignoredErrors>
    <ignoredError sqref="D67" 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3"/>
  <sheetViews>
    <sheetView zoomScale="90" zoomScaleNormal="90" workbookViewId="0">
      <selection activeCell="B28" sqref="B28"/>
    </sheetView>
  </sheetViews>
  <sheetFormatPr defaultColWidth="9.109375" defaultRowHeight="14.4" x14ac:dyDescent="0.3"/>
  <cols>
    <col min="1" max="1" width="9.109375" style="857"/>
    <col min="2" max="2" width="12.6640625" style="857" customWidth="1"/>
    <col min="3" max="7" width="12.6640625" style="858" customWidth="1"/>
    <col min="8" max="8" width="13.6640625" style="858" customWidth="1"/>
    <col min="9" max="10" width="12.6640625" style="858" customWidth="1"/>
    <col min="11" max="12" width="12.6640625" style="857" customWidth="1"/>
    <col min="13" max="13" width="14.5546875" style="857" customWidth="1"/>
    <col min="14" max="16" width="14.6640625" style="857" customWidth="1"/>
    <col min="17" max="17" width="18.44140625" style="857" customWidth="1"/>
    <col min="18" max="19" width="14.6640625" style="857" customWidth="1"/>
    <col min="20" max="20" width="14" style="857" customWidth="1"/>
    <col min="21" max="21" width="12" style="857" bestFit="1" customWidth="1"/>
    <col min="22" max="28" width="14.6640625" style="857" customWidth="1"/>
    <col min="29" max="16384" width="9.109375" style="857"/>
  </cols>
  <sheetData>
    <row r="1" spans="1:28" x14ac:dyDescent="0.3">
      <c r="A1" s="1015"/>
      <c r="B1" s="1027" t="s">
        <v>154</v>
      </c>
      <c r="C1" s="1026"/>
      <c r="D1" s="1026"/>
      <c r="E1" s="1026"/>
      <c r="F1" s="1026"/>
      <c r="G1" s="1026"/>
      <c r="H1" s="1026"/>
      <c r="I1" s="1026"/>
      <c r="J1" s="1026"/>
      <c r="K1" s="1015"/>
    </row>
    <row r="2" spans="1:28" ht="15" customHeight="1" x14ac:dyDescent="0.3">
      <c r="A2" s="1015"/>
      <c r="B2" s="1220" t="s">
        <v>1345</v>
      </c>
      <c r="C2" s="1221"/>
      <c r="D2" s="1221"/>
      <c r="E2" s="1221"/>
      <c r="F2" s="1221"/>
      <c r="G2" s="1221"/>
      <c r="H2" s="1221"/>
      <c r="I2" s="1221"/>
      <c r="J2" s="1222"/>
      <c r="K2" s="1015"/>
    </row>
    <row r="3" spans="1:28" x14ac:dyDescent="0.3">
      <c r="A3" s="1015"/>
      <c r="B3" s="1223" t="s">
        <v>322</v>
      </c>
      <c r="C3" s="1224" t="s">
        <v>1346</v>
      </c>
      <c r="D3" s="1224" t="s">
        <v>216</v>
      </c>
      <c r="E3" s="1224" t="s">
        <v>1544</v>
      </c>
      <c r="F3" s="1213" t="s">
        <v>212</v>
      </c>
      <c r="G3" s="1213"/>
      <c r="H3" s="1213"/>
      <c r="I3" s="1224" t="s">
        <v>163</v>
      </c>
      <c r="J3" s="1224" t="s">
        <v>1348</v>
      </c>
      <c r="K3" s="1015"/>
      <c r="Q3" s="857" t="s">
        <v>1351</v>
      </c>
    </row>
    <row r="4" spans="1:28" ht="30" customHeight="1" thickBot="1" x14ac:dyDescent="0.35">
      <c r="A4" s="1015"/>
      <c r="B4" s="1223"/>
      <c r="C4" s="1224"/>
      <c r="D4" s="1224"/>
      <c r="E4" s="1224"/>
      <c r="F4" s="859" t="s">
        <v>213</v>
      </c>
      <c r="G4" s="1055" t="str">
        <f>IF('Bioenergy Calculator'!H75="No","Landfilled","Landfilled and Incinerated")</f>
        <v>Landfilled</v>
      </c>
      <c r="H4" s="859" t="s">
        <v>1349</v>
      </c>
      <c r="I4" s="1224"/>
      <c r="J4" s="1224"/>
      <c r="K4" s="1015"/>
      <c r="L4" s="857" t="s">
        <v>1350</v>
      </c>
      <c r="Q4" s="982" t="s">
        <v>1479</v>
      </c>
      <c r="R4" s="977" t="s">
        <v>1480</v>
      </c>
    </row>
    <row r="5" spans="1:28" ht="15" customHeight="1" thickBot="1" x14ac:dyDescent="0.35">
      <c r="A5" s="1015"/>
      <c r="B5" s="860" t="s">
        <v>403</v>
      </c>
      <c r="C5" s="861">
        <f>Atlantic!$C$11</f>
        <v>2548.5675999999999</v>
      </c>
      <c r="D5" s="861">
        <f>Atlantic!$C$29</f>
        <v>118397.15833333334</v>
      </c>
      <c r="E5" s="861">
        <f>Atlantic!$C$49</f>
        <v>1234.7412632500002</v>
      </c>
      <c r="F5" s="861">
        <f>SUM(Atlantic!$C$37:'Atlantic'!$C$42)</f>
        <v>37946.602499999994</v>
      </c>
      <c r="G5" s="861">
        <f>SUM(Atlantic!$C$32:'Atlantic'!$C$34)</f>
        <v>84846.086702400004</v>
      </c>
      <c r="H5" s="861">
        <f>Atlantic!$C$35</f>
        <v>20944.182400000005</v>
      </c>
      <c r="I5" s="861">
        <f>Atlantic!$C$67</f>
        <v>50563.715968067183</v>
      </c>
      <c r="J5" s="861">
        <f>SUM(C5:I5)</f>
        <v>316481.05476705049</v>
      </c>
      <c r="K5" s="1015"/>
      <c r="L5" s="1211" t="s">
        <v>1352</v>
      </c>
      <c r="M5" s="1212"/>
      <c r="N5" s="1212"/>
      <c r="O5" s="1153"/>
      <c r="Q5" s="978" t="s">
        <v>1481</v>
      </c>
      <c r="R5" s="979">
        <f>'Bioenergy Calculator'!$C$44</f>
        <v>269912.304</v>
      </c>
    </row>
    <row r="6" spans="1:28" ht="15" customHeight="1" thickBot="1" x14ac:dyDescent="0.35">
      <c r="A6" s="1015"/>
      <c r="B6" s="863" t="s">
        <v>325</v>
      </c>
      <c r="C6" s="861">
        <f>Bergen!$C$11</f>
        <v>4.2644000000000002</v>
      </c>
      <c r="D6" s="861">
        <f>Bergen!$C$29</f>
        <v>93737.097499999989</v>
      </c>
      <c r="E6" s="861">
        <f>Bergen!$C$49</f>
        <v>3687.6688630000003</v>
      </c>
      <c r="F6" s="861">
        <f>SUM(Bergen!$C$37:'Bergen'!$C$42)</f>
        <v>166837.16649999999</v>
      </c>
      <c r="G6" s="861">
        <f>SUM(Bergen!$C$32:'Bergen'!$C$34)</f>
        <v>195159.15290400002</v>
      </c>
      <c r="H6" s="861">
        <f>Bergen!$C$35</f>
        <v>86592.899200000014</v>
      </c>
      <c r="I6" s="861">
        <f>Bergen!$C$67</f>
        <v>65289.158135847931</v>
      </c>
      <c r="J6" s="861">
        <f t="shared" ref="J6:J25" si="0">SUM(C6:I6)</f>
        <v>611307.40750284784</v>
      </c>
      <c r="K6" s="1015"/>
      <c r="L6" s="864" t="s">
        <v>322</v>
      </c>
      <c r="M6" s="865" t="s">
        <v>1353</v>
      </c>
      <c r="N6" s="865" t="s">
        <v>1354</v>
      </c>
      <c r="O6" s="865" t="s">
        <v>1355</v>
      </c>
      <c r="Q6" s="978" t="s">
        <v>1482</v>
      </c>
      <c r="R6" s="979">
        <f>'Bioenergy Calculator'!$C$42</f>
        <v>736575.51599999995</v>
      </c>
      <c r="Y6" s="1217" t="s">
        <v>1352</v>
      </c>
      <c r="Z6" s="1218"/>
      <c r="AA6" s="1218"/>
      <c r="AB6" s="1219"/>
    </row>
    <row r="7" spans="1:28" ht="15" thickBot="1" x14ac:dyDescent="0.35">
      <c r="A7" s="1015"/>
      <c r="B7" s="863" t="s">
        <v>328</v>
      </c>
      <c r="C7" s="861">
        <f>Burlington!$C$11</f>
        <v>32089.921600000001</v>
      </c>
      <c r="D7" s="861">
        <f>Burlington!$C$29</f>
        <v>214810.09</v>
      </c>
      <c r="E7" s="861">
        <f>Burlington!$C$49</f>
        <v>21042.6544995</v>
      </c>
      <c r="F7" s="861">
        <f>SUM(Burlington!$C$37:'Burlington'!$C$42)</f>
        <v>77961.870500000005</v>
      </c>
      <c r="G7" s="861">
        <f>SUM(Burlington!$C$32:'Burlington'!$C$34)</f>
        <v>98113.39617349999</v>
      </c>
      <c r="H7" s="861">
        <f>Burlington!$C$35</f>
        <v>23711.446400000004</v>
      </c>
      <c r="I7" s="861">
        <f>Burlington!$C$67</f>
        <v>86409.209896009605</v>
      </c>
      <c r="J7" s="861">
        <f t="shared" si="0"/>
        <v>554138.58906900964</v>
      </c>
      <c r="K7" s="1015"/>
      <c r="L7" s="867" t="s">
        <v>403</v>
      </c>
      <c r="M7" s="868">
        <f>'Biomass Data Assumptions'!$U7</f>
        <v>1638.0013513686999</v>
      </c>
      <c r="N7" s="868">
        <f>'Biomass Data Assumptions'!$W7</f>
        <v>737.42353600000001</v>
      </c>
      <c r="O7" s="868">
        <f>'Biomass Data Assumptions'!$X7</f>
        <v>900.57781536869993</v>
      </c>
      <c r="Q7" s="978" t="s">
        <v>1483</v>
      </c>
      <c r="R7" s="979">
        <f>'Bioenergy Calculator'!$C$43</f>
        <v>174898.71000000002</v>
      </c>
      <c r="Y7" s="966" t="s">
        <v>322</v>
      </c>
      <c r="Z7" s="967" t="s">
        <v>1353</v>
      </c>
      <c r="AA7" s="967" t="s">
        <v>1354</v>
      </c>
      <c r="AB7" s="967" t="s">
        <v>1355</v>
      </c>
    </row>
    <row r="8" spans="1:28" x14ac:dyDescent="0.3">
      <c r="A8" s="1015"/>
      <c r="B8" s="863" t="s">
        <v>331</v>
      </c>
      <c r="C8" s="861">
        <f>Camden!$C$11</f>
        <v>2443.7939999999999</v>
      </c>
      <c r="D8" s="861">
        <f>Camden!$C$29</f>
        <v>73270.317500000005</v>
      </c>
      <c r="E8" s="861">
        <f>Camden!$C$49</f>
        <v>2279.0070322500001</v>
      </c>
      <c r="F8" s="861">
        <f>SUM(Camden!$C$37:'Camden'!$C$42)</f>
        <v>75827.284499999994</v>
      </c>
      <c r="G8" s="861">
        <f>SUM(Camden!$C$32:'Camden'!$C$34)</f>
        <v>30227.090116399995</v>
      </c>
      <c r="H8" s="861">
        <f>Camden!$C$35</f>
        <v>20582.972800000003</v>
      </c>
      <c r="I8" s="861">
        <f>Camden!$C$67</f>
        <v>15225.408834256337</v>
      </c>
      <c r="J8" s="861">
        <f t="shared" si="0"/>
        <v>219855.87478290632</v>
      </c>
      <c r="K8" s="1015"/>
      <c r="L8" s="869" t="s">
        <v>325</v>
      </c>
      <c r="M8" s="868">
        <f>'Biomass Data Assumptions'!$U8</f>
        <v>1194.1632</v>
      </c>
      <c r="N8" s="868">
        <f>'Biomass Data Assumptions'!$W8</f>
        <v>0</v>
      </c>
      <c r="O8" s="868">
        <f>'Biomass Data Assumptions'!$X8</f>
        <v>1194.1632</v>
      </c>
      <c r="Q8" s="978" t="s">
        <v>1484</v>
      </c>
      <c r="R8" s="979">
        <f>'Bioenergy Calculator'!$C$45</f>
        <v>147228.67800000004</v>
      </c>
      <c r="Y8" s="968" t="s">
        <v>403</v>
      </c>
      <c r="Z8" s="969">
        <v>1638.0013513686999</v>
      </c>
      <c r="AA8" s="969">
        <v>737.42353600000001</v>
      </c>
      <c r="AB8" s="969">
        <v>900.57781536869993</v>
      </c>
    </row>
    <row r="9" spans="1:28" x14ac:dyDescent="0.3">
      <c r="A9" s="1015"/>
      <c r="B9" s="863" t="s">
        <v>333</v>
      </c>
      <c r="C9" s="861">
        <f>'Cape May'!$C$11</f>
        <v>772.41560000000004</v>
      </c>
      <c r="D9" s="861">
        <f>'Cape May'!$C$29</f>
        <v>90166.833333333343</v>
      </c>
      <c r="E9" s="861">
        <f>'Cape May'!$C$49</f>
        <v>396.28192625000003</v>
      </c>
      <c r="F9" s="861">
        <f>SUM('Cape May'!$C$37:'Cape May'!$C$42)</f>
        <v>22539.174000000003</v>
      </c>
      <c r="G9" s="861">
        <f>SUM('Cape May'!$C$32:'Cape May'!$C$34)</f>
        <v>32504.888731200001</v>
      </c>
      <c r="H9" s="861">
        <f>'Cape May'!$C$35</f>
        <v>21896.950400000002</v>
      </c>
      <c r="I9" s="861">
        <f>'Cape May'!$C$67</f>
        <v>31893.14851532691</v>
      </c>
      <c r="J9" s="861">
        <f t="shared" si="0"/>
        <v>200169.69250611024</v>
      </c>
      <c r="K9" s="1015"/>
      <c r="L9" s="869" t="s">
        <v>328</v>
      </c>
      <c r="M9" s="868">
        <f>'Biomass Data Assumptions'!$U9</f>
        <v>2677.5167271646746</v>
      </c>
      <c r="N9" s="868">
        <f>'Biomass Data Assumptions'!$W9</f>
        <v>1019.152098</v>
      </c>
      <c r="O9" s="868">
        <f>'Biomass Data Assumptions'!$X9</f>
        <v>1658.3646291646746</v>
      </c>
      <c r="Q9" s="978" t="s">
        <v>1485</v>
      </c>
      <c r="R9" s="979">
        <f>'Bioenergy Calculator'!$C$40</f>
        <v>66877.455000000016</v>
      </c>
      <c r="Y9" s="970" t="s">
        <v>325</v>
      </c>
      <c r="Z9" s="969">
        <v>1194.1632</v>
      </c>
      <c r="AA9" s="969">
        <v>0</v>
      </c>
      <c r="AB9" s="969">
        <v>1194.1632</v>
      </c>
    </row>
    <row r="10" spans="1:28" x14ac:dyDescent="0.3">
      <c r="A10" s="1015"/>
      <c r="B10" s="863" t="s">
        <v>335</v>
      </c>
      <c r="C10" s="861">
        <f>Cumberland!$C$11</f>
        <v>27282.040399999998</v>
      </c>
      <c r="D10" s="861">
        <f>Cumberland!$C$29</f>
        <v>128487.38666666666</v>
      </c>
      <c r="E10" s="861">
        <f>Cumberland!$C$49</f>
        <v>8858.7616765000002</v>
      </c>
      <c r="F10" s="861">
        <f>SUM(Cumberland!$C$37:'Cumberland'!$C$42)</f>
        <v>34772.178</v>
      </c>
      <c r="G10" s="861">
        <f>SUM(Cumberland!$C$32:'Cumberland'!$C$34)</f>
        <v>40639.464886400005</v>
      </c>
      <c r="H10" s="861">
        <f>Cumberland!$C$35</f>
        <v>6815.2128000000012</v>
      </c>
      <c r="I10" s="861">
        <f>Cumberland!$C$67</f>
        <v>15768.03974753267</v>
      </c>
      <c r="J10" s="861">
        <f t="shared" si="0"/>
        <v>262623.08417709934</v>
      </c>
      <c r="K10" s="1015"/>
      <c r="L10" s="869" t="s">
        <v>331</v>
      </c>
      <c r="M10" s="868">
        <f>'Biomass Data Assumptions'!$U10</f>
        <v>319.86940351947902</v>
      </c>
      <c r="N10" s="868">
        <f>'Biomass Data Assumptions'!$W10</f>
        <v>297.00299999999999</v>
      </c>
      <c r="O10" s="868">
        <f>'Biomass Data Assumptions'!$X10</f>
        <v>22.866403519479036</v>
      </c>
      <c r="Q10" s="978" t="s">
        <v>1486</v>
      </c>
      <c r="R10" s="979">
        <f>'Bioenergy Calculator'!$C$41</f>
        <v>129506.64000000003</v>
      </c>
      <c r="Y10" s="970" t="s">
        <v>328</v>
      </c>
      <c r="Z10" s="969">
        <v>2677.5167271646746</v>
      </c>
      <c r="AA10" s="969">
        <v>1019.152098</v>
      </c>
      <c r="AB10" s="969">
        <v>1658.3646291646746</v>
      </c>
    </row>
    <row r="11" spans="1:28" x14ac:dyDescent="0.3">
      <c r="A11" s="1015"/>
      <c r="B11" s="863" t="s">
        <v>336</v>
      </c>
      <c r="C11" s="861">
        <f>Essex!$C$11</f>
        <v>0</v>
      </c>
      <c r="D11" s="861">
        <f>Essex!$C$29</f>
        <v>40659.395000000004</v>
      </c>
      <c r="E11" s="861">
        <f>Essex!$C$49</f>
        <v>3194.08569825</v>
      </c>
      <c r="F11" s="861">
        <f>SUM(Essex!$C$37:'Essex'!$C$42)</f>
        <v>112229.36249999999</v>
      </c>
      <c r="G11" s="861">
        <f>SUM(Essex!$C$32:'Essex'!$C$34)</f>
        <v>36170.632535599994</v>
      </c>
      <c r="H11" s="861">
        <f>Essex!$C$35</f>
        <v>19283.440000000002</v>
      </c>
      <c r="I11" s="861">
        <f>Essex!$C$67</f>
        <v>38771.941112966771</v>
      </c>
      <c r="J11" s="861">
        <f t="shared" si="0"/>
        <v>250308.85684681675</v>
      </c>
      <c r="K11" s="1015"/>
      <c r="L11" s="869" t="s">
        <v>333</v>
      </c>
      <c r="M11" s="868">
        <f>'Biomass Data Assumptions'!$U11</f>
        <v>803.05677939999998</v>
      </c>
      <c r="N11" s="868">
        <f>'Biomass Data Assumptions'!$W11</f>
        <v>70.643416999999999</v>
      </c>
      <c r="O11" s="868">
        <f>'Biomass Data Assumptions'!$X11</f>
        <v>732.41336239999998</v>
      </c>
      <c r="Q11" s="980" t="s">
        <v>1487</v>
      </c>
      <c r="R11" s="981">
        <f>SUM(R5:R10)</f>
        <v>1524999.3030000003</v>
      </c>
      <c r="Y11" s="970" t="s">
        <v>331</v>
      </c>
      <c r="Z11" s="969">
        <v>319.86940351947902</v>
      </c>
      <c r="AA11" s="969">
        <v>297.00299999999999</v>
      </c>
      <c r="AB11" s="969">
        <v>22.866403519479036</v>
      </c>
    </row>
    <row r="12" spans="1:28" x14ac:dyDescent="0.3">
      <c r="A12" s="1015"/>
      <c r="B12" s="863" t="s">
        <v>337</v>
      </c>
      <c r="C12" s="861">
        <f>Gloucester!$C$11</f>
        <v>18272.194800000001</v>
      </c>
      <c r="D12" s="861">
        <f>Gloucester!$C$29</f>
        <v>81806.846666666665</v>
      </c>
      <c r="E12" s="861">
        <f>Gloucester!$C$49</f>
        <v>9405.5973840000024</v>
      </c>
      <c r="F12" s="861">
        <f>SUM(Gloucester!$C$37:'Gloucester'!$C$42)</f>
        <v>76845.582500000004</v>
      </c>
      <c r="G12" s="861">
        <f>SUM(Gloucester!$C$32:'Gloucester'!$C$34)</f>
        <v>9064.4207856000012</v>
      </c>
      <c r="H12" s="861">
        <f>Gloucester!$C$35</f>
        <v>10686.140800000001</v>
      </c>
      <c r="I12" s="861">
        <f>Gloucester!$C$67</f>
        <v>131590.12365920792</v>
      </c>
      <c r="J12" s="861">
        <f t="shared" si="0"/>
        <v>337670.90659547457</v>
      </c>
      <c r="K12" s="1015"/>
      <c r="L12" s="869" t="s">
        <v>335</v>
      </c>
      <c r="M12" s="868">
        <f>'Biomass Data Assumptions'!$U12</f>
        <v>890.09893009999996</v>
      </c>
      <c r="N12" s="868">
        <f>'Biomass Data Assumptions'!$W12</f>
        <v>699.89516800000001</v>
      </c>
      <c r="O12" s="868">
        <f>'Biomass Data Assumptions'!$X12</f>
        <v>190.20376209999995</v>
      </c>
      <c r="Y12" s="970" t="s">
        <v>333</v>
      </c>
      <c r="Z12" s="969">
        <v>803.05677939999998</v>
      </c>
      <c r="AA12" s="969">
        <v>70.643416999999999</v>
      </c>
      <c r="AB12" s="969">
        <v>732.41336239999998</v>
      </c>
    </row>
    <row r="13" spans="1:28" x14ac:dyDescent="0.3">
      <c r="A13" s="1015"/>
      <c r="B13" s="863" t="s">
        <v>338</v>
      </c>
      <c r="C13" s="861">
        <f>Hudson!$C$11</f>
        <v>0</v>
      </c>
      <c r="D13" s="861">
        <f>Hudson!$C$29</f>
        <v>4128.5766666666659</v>
      </c>
      <c r="E13" s="861">
        <f>Hudson!$C$49</f>
        <v>2584.1582505000001</v>
      </c>
      <c r="F13" s="861">
        <f>SUM(Hudson!$C$37:'Hudson'!$C$42)</f>
        <v>114940.1395</v>
      </c>
      <c r="G13" s="861">
        <f>SUM(Hudson!$C$32:'Hudson'!$C$34)</f>
        <v>131772.91051040002</v>
      </c>
      <c r="H13" s="861">
        <f>Hudson!$C$35</f>
        <v>25802.438399999999</v>
      </c>
      <c r="I13" s="861">
        <f>Hudson!$C$67</f>
        <v>5393.1112143971977</v>
      </c>
      <c r="J13" s="861">
        <f t="shared" si="0"/>
        <v>284621.33454196388</v>
      </c>
      <c r="K13" s="1015"/>
      <c r="L13" s="869" t="s">
        <v>337</v>
      </c>
      <c r="M13" s="868">
        <f>'Biomass Data Assumptions'!$U14</f>
        <v>2709.58754</v>
      </c>
      <c r="N13" s="868">
        <f>'Biomass Data Assumptions'!$W14</f>
        <v>0</v>
      </c>
      <c r="O13" s="868">
        <f>'Biomass Data Assumptions'!$X14</f>
        <v>2709.58754</v>
      </c>
      <c r="Y13" s="970" t="s">
        <v>335</v>
      </c>
      <c r="Z13" s="969">
        <v>890.09893009999996</v>
      </c>
      <c r="AA13" s="969">
        <v>699.89516800000001</v>
      </c>
      <c r="AB13" s="969">
        <v>190.20376209999995</v>
      </c>
    </row>
    <row r="14" spans="1:28" x14ac:dyDescent="0.3">
      <c r="A14" s="1015"/>
      <c r="B14" s="863" t="s">
        <v>339</v>
      </c>
      <c r="C14" s="861">
        <f>Hunterdon!$C$11</f>
        <v>27925.648400000002</v>
      </c>
      <c r="D14" s="861">
        <f>Hunterdon!$C$29</f>
        <v>134938.16250000001</v>
      </c>
      <c r="E14" s="861">
        <f>Hunterdon!$C$49</f>
        <v>4712.3659132499997</v>
      </c>
      <c r="F14" s="861">
        <f>SUM(Hunterdon!$C$37:'Hunterdon'!$C$42)</f>
        <v>16168.502500000002</v>
      </c>
      <c r="G14" s="861">
        <f>SUM(Hunterdon!$C$32:'Hunterdon'!$C$34)</f>
        <v>17524.687573200004</v>
      </c>
      <c r="H14" s="861">
        <f>Hunterdon!$C$35</f>
        <v>8298.1792000000023</v>
      </c>
      <c r="I14" s="861">
        <f>Hunterdon!$C$67</f>
        <v>26904.709018646779</v>
      </c>
      <c r="J14" s="861">
        <f t="shared" si="0"/>
        <v>236472.25510509679</v>
      </c>
      <c r="K14" s="1015"/>
      <c r="L14" s="869" t="s">
        <v>341</v>
      </c>
      <c r="M14" s="870">
        <f>'Biomass Data Assumptions'!$U18</f>
        <v>4428.5576053097093</v>
      </c>
      <c r="N14" s="870">
        <f>'Biomass Data Assumptions'!$W18</f>
        <v>3642.692</v>
      </c>
      <c r="O14" s="870">
        <f>'Biomass Data Assumptions'!$X18</f>
        <v>785.86560530970928</v>
      </c>
      <c r="Q14" s="976" t="s">
        <v>1477</v>
      </c>
      <c r="R14" s="976" t="s">
        <v>1478</v>
      </c>
      <c r="S14" s="857" t="s">
        <v>1356</v>
      </c>
      <c r="U14" s="976" t="s">
        <v>1477</v>
      </c>
      <c r="V14" s="976" t="s">
        <v>1478</v>
      </c>
      <c r="Y14" s="970" t="s">
        <v>337</v>
      </c>
      <c r="Z14" s="969">
        <v>2709.58754</v>
      </c>
      <c r="AA14" s="969">
        <v>0</v>
      </c>
      <c r="AB14" s="969">
        <v>2709.58754</v>
      </c>
    </row>
    <row r="15" spans="1:28" x14ac:dyDescent="0.3">
      <c r="A15" s="1015"/>
      <c r="B15" s="863" t="s">
        <v>340</v>
      </c>
      <c r="C15" s="861">
        <f>Mercer!$C$11</f>
        <v>8511.2288000000008</v>
      </c>
      <c r="D15" s="861">
        <f>Mercer!$C$29</f>
        <v>119708.63166666668</v>
      </c>
      <c r="E15" s="861">
        <f>Mercer!$C$49</f>
        <v>5335.185590250001</v>
      </c>
      <c r="F15" s="861">
        <f>SUM(Mercer!$C$37:'Mercer'!$C$42)</f>
        <v>70080.870999999999</v>
      </c>
      <c r="G15" s="861">
        <f>SUM(Mercer!$C$32:'Mercer'!$C$34)</f>
        <v>84207.195322799991</v>
      </c>
      <c r="H15" s="861">
        <f>Mercer!$C$35</f>
        <v>20757.116800000003</v>
      </c>
      <c r="I15" s="861">
        <f>Mercer!$C$67</f>
        <v>22469.857877486527</v>
      </c>
      <c r="J15" s="861">
        <f t="shared" si="0"/>
        <v>331070.08705720323</v>
      </c>
      <c r="K15" s="1015"/>
      <c r="L15" s="869" t="s">
        <v>342</v>
      </c>
      <c r="M15" s="870">
        <f>'Biomass Data Assumptions'!$U19</f>
        <v>2010.750597</v>
      </c>
      <c r="N15" s="870">
        <f>'Biomass Data Assumptions'!$W19</f>
        <v>1788.5</v>
      </c>
      <c r="O15" s="870">
        <f>'Biomass Data Assumptions'!$X19</f>
        <v>222.25059699999997</v>
      </c>
      <c r="Q15" s="871">
        <f>F26</f>
        <v>1524999.3030000003</v>
      </c>
      <c r="R15" s="871">
        <f>G26</f>
        <v>1593668.8508182997</v>
      </c>
      <c r="S15" s="871">
        <f>H26</f>
        <v>582995.8208000001</v>
      </c>
      <c r="T15" s="871">
        <f>SUM(Q15:S15)</f>
        <v>3701663.9746182999</v>
      </c>
      <c r="Y15" s="970" t="s">
        <v>341</v>
      </c>
      <c r="Z15" s="971">
        <v>4428.5576053097093</v>
      </c>
      <c r="AA15" s="971">
        <v>3642.692</v>
      </c>
      <c r="AB15" s="971">
        <v>785.86560530970928</v>
      </c>
    </row>
    <row r="16" spans="1:28" x14ac:dyDescent="0.3">
      <c r="A16" s="1015"/>
      <c r="B16" s="1035" t="s">
        <v>341</v>
      </c>
      <c r="C16" s="861">
        <f>Middlesex!$C$11</f>
        <v>9512.9772000000012</v>
      </c>
      <c r="D16" s="861">
        <f>Middlesex!$C$29</f>
        <v>73388.464999999982</v>
      </c>
      <c r="E16" s="861">
        <f>Middlesex!$C$49</f>
        <v>6790.1239565000005</v>
      </c>
      <c r="F16" s="861">
        <f>SUM(Middlesex!$C$37:'Middlesex'!$C$42)</f>
        <v>197132.77750000003</v>
      </c>
      <c r="G16" s="861">
        <f>SUM(Middlesex!$C$32:'Middlesex'!$C$34)</f>
        <v>190952.07597400001</v>
      </c>
      <c r="H16" s="861">
        <f>Middlesex!$C$35</f>
        <v>31407.497599999999</v>
      </c>
      <c r="I16" s="861">
        <f>Middlesex!$C$67</f>
        <v>88378.776855365984</v>
      </c>
      <c r="J16" s="1034">
        <f t="shared" si="0"/>
        <v>597562.69408586598</v>
      </c>
      <c r="K16" s="1015"/>
      <c r="L16" s="869" t="s">
        <v>343</v>
      </c>
      <c r="M16" s="870">
        <f>'Biomass Data Assumptions'!$U20</f>
        <v>446.87619649999999</v>
      </c>
      <c r="N16" s="870">
        <f>'Biomass Data Assumptions'!$W20</f>
        <v>0</v>
      </c>
      <c r="O16" s="870">
        <f>'Biomass Data Assumptions'!$X20</f>
        <v>446.87619649999999</v>
      </c>
      <c r="Y16" s="970" t="s">
        <v>342</v>
      </c>
      <c r="Z16" s="971">
        <v>2010.750597</v>
      </c>
      <c r="AA16" s="971">
        <v>1788.5</v>
      </c>
      <c r="AB16" s="971">
        <v>222.25059699999997</v>
      </c>
    </row>
    <row r="17" spans="1:28" x14ac:dyDescent="0.3">
      <c r="A17" s="1015"/>
      <c r="B17" s="863" t="s">
        <v>342</v>
      </c>
      <c r="C17" s="861">
        <f>Monmouth!$C$11</f>
        <v>9428.0999999999985</v>
      </c>
      <c r="D17" s="861">
        <f>Monmouth!$C$29</f>
        <v>125283.12666666666</v>
      </c>
      <c r="E17" s="861">
        <f>Monmouth!$C$49</f>
        <v>7489.2857150000009</v>
      </c>
      <c r="F17" s="861">
        <f>SUM(Monmouth!$C$37:'Monmouth'!$C$42)</f>
        <v>99977.147000000026</v>
      </c>
      <c r="G17" s="861">
        <f>SUM(Monmouth!$C$32:'Monmouth'!$C$34)</f>
        <v>153487.57062119999</v>
      </c>
      <c r="H17" s="861">
        <f>Monmouth!$C$35</f>
        <v>64421.347200000011</v>
      </c>
      <c r="I17" s="861">
        <f>Monmouth!$C$67</f>
        <v>51188.939997831229</v>
      </c>
      <c r="J17" s="861">
        <f t="shared" si="0"/>
        <v>511275.51720069797</v>
      </c>
      <c r="K17" s="1015"/>
      <c r="L17" s="869" t="s">
        <v>344</v>
      </c>
      <c r="M17" s="870">
        <f>'Biomass Data Assumptions'!$U21</f>
        <v>3153.6</v>
      </c>
      <c r="N17" s="870">
        <f>'Biomass Data Assumptions'!$W21</f>
        <v>2242.7352000000001</v>
      </c>
      <c r="O17" s="870">
        <f>'Biomass Data Assumptions'!$X21</f>
        <v>910.86479999999983</v>
      </c>
      <c r="Y17" s="970" t="s">
        <v>343</v>
      </c>
      <c r="Z17" s="971">
        <v>446.87619649999999</v>
      </c>
      <c r="AA17" s="971">
        <v>0</v>
      </c>
      <c r="AB17" s="971">
        <v>446.87619649999999</v>
      </c>
    </row>
    <row r="18" spans="1:28" x14ac:dyDescent="0.3">
      <c r="A18" s="1015"/>
      <c r="B18" s="863" t="s">
        <v>343</v>
      </c>
      <c r="C18" s="861">
        <f>Morris!$C$11</f>
        <v>3296.5652</v>
      </c>
      <c r="D18" s="861">
        <f>Morris!$C$29</f>
        <v>113251.15083333332</v>
      </c>
      <c r="E18" s="861">
        <f>Morris!$C$49</f>
        <v>2238.9354930000004</v>
      </c>
      <c r="F18" s="861">
        <f>SUM(Morris!$C$37:'Morris'!$C$42)</f>
        <v>101477.8955</v>
      </c>
      <c r="G18" s="861">
        <f>SUM(Morris!$C$32:'Morris'!$C$34)</f>
        <v>101153.9837296</v>
      </c>
      <c r="H18" s="861">
        <f>Morris!$C$35</f>
        <v>19766.307200000003</v>
      </c>
      <c r="I18" s="861">
        <f>Morris!$C$67</f>
        <v>40024.097300352943</v>
      </c>
      <c r="J18" s="861">
        <f t="shared" si="0"/>
        <v>381208.93525628623</v>
      </c>
      <c r="K18" s="1015"/>
      <c r="L18" s="869" t="s">
        <v>346</v>
      </c>
      <c r="M18" s="870">
        <f>'Biomass Data Assumptions'!$U23</f>
        <v>660.768552</v>
      </c>
      <c r="N18" s="870">
        <f>'Biomass Data Assumptions'!$W23</f>
        <v>351.62639999999999</v>
      </c>
      <c r="O18" s="870">
        <f>'Biomass Data Assumptions'!$X23</f>
        <v>309.14215200000001</v>
      </c>
      <c r="Y18" s="970" t="s">
        <v>344</v>
      </c>
      <c r="Z18" s="971">
        <v>3153.6</v>
      </c>
      <c r="AA18" s="971">
        <v>2242.7352000000001</v>
      </c>
      <c r="AB18" s="971">
        <v>910.86479999999983</v>
      </c>
    </row>
    <row r="19" spans="1:28" x14ac:dyDescent="0.3">
      <c r="A19" s="1015"/>
      <c r="B19" s="863" t="s">
        <v>344</v>
      </c>
      <c r="C19" s="861">
        <f>Ocean!$C$11</f>
        <v>1006.876</v>
      </c>
      <c r="D19" s="861">
        <f>Ocean!$C$29</f>
        <v>158073.35416666666</v>
      </c>
      <c r="E19" s="861">
        <f>Ocean!$C$49</f>
        <v>2609.2380997500004</v>
      </c>
      <c r="F19" s="861">
        <f>SUM(Ocean!$C$37:'Ocean'!$C$42)</f>
        <v>91930.809500000018</v>
      </c>
      <c r="G19" s="861">
        <f>SUM(Ocean!$C$32:'Ocean'!$C$34)</f>
        <v>139857.79142319999</v>
      </c>
      <c r="H19" s="861">
        <f>Ocean!$C$35</f>
        <v>88560.502400000012</v>
      </c>
      <c r="I19" s="861">
        <f>Ocean!$C$67</f>
        <v>46770.027326514952</v>
      </c>
      <c r="J19" s="861">
        <f t="shared" si="0"/>
        <v>528808.59891613165</v>
      </c>
      <c r="K19" s="1015"/>
      <c r="L19" s="869" t="s">
        <v>348</v>
      </c>
      <c r="M19" s="870">
        <f>'Biomass Data Assumptions'!$U25</f>
        <v>306.94063244064165</v>
      </c>
      <c r="N19" s="870">
        <f>'Biomass Data Assumptions'!$W25</f>
        <v>289.17588932806325</v>
      </c>
      <c r="O19" s="870">
        <f>'Biomass Data Assumptions'!$X25</f>
        <v>17.764743112578401</v>
      </c>
      <c r="Y19" s="970" t="s">
        <v>346</v>
      </c>
      <c r="Z19" s="971">
        <v>660.768552</v>
      </c>
      <c r="AA19" s="971">
        <v>351.62639999999999</v>
      </c>
      <c r="AB19" s="971">
        <v>309.14215200000001</v>
      </c>
    </row>
    <row r="20" spans="1:28" ht="15" thickBot="1" x14ac:dyDescent="0.35">
      <c r="A20" s="1015"/>
      <c r="B20" s="863" t="s">
        <v>345</v>
      </c>
      <c r="C20" s="861">
        <f>Passaic!$C$11</f>
        <v>3.5</v>
      </c>
      <c r="D20" s="861">
        <f>Passaic!$C$29</f>
        <v>57969.090833333328</v>
      </c>
      <c r="E20" s="861">
        <f>Passaic!$C$49</f>
        <v>2042.1200305000002</v>
      </c>
      <c r="F20" s="861">
        <f>SUM(Passaic!$C$37:'Passaic'!$C$42)</f>
        <v>104048.74100000001</v>
      </c>
      <c r="G20" s="861">
        <f>SUM(Passaic!$C$32:'Passaic'!$C$34)</f>
        <v>119978.115816</v>
      </c>
      <c r="H20" s="861">
        <f>Passaic!$C$35</f>
        <v>50443.353600000009</v>
      </c>
      <c r="I20" s="861">
        <f>Passaic!$C$67</f>
        <v>4303.9418303385155</v>
      </c>
      <c r="J20" s="861">
        <f t="shared" si="0"/>
        <v>338788.86311017192</v>
      </c>
      <c r="K20" s="1015"/>
      <c r="L20" s="872" t="s">
        <v>350</v>
      </c>
      <c r="M20" s="873">
        <f>'Biomass Data Assumptions'!$U27</f>
        <v>276.52688999999998</v>
      </c>
      <c r="N20" s="873">
        <f>'Biomass Data Assumptions'!$W27</f>
        <v>182.89423300000001</v>
      </c>
      <c r="O20" s="873">
        <f>'Biomass Data Assumptions'!$X27</f>
        <v>93.632656999999995</v>
      </c>
      <c r="Y20" s="970" t="s">
        <v>348</v>
      </c>
      <c r="Z20" s="971">
        <v>306.94063244064165</v>
      </c>
      <c r="AA20" s="971">
        <v>289.17588932806325</v>
      </c>
      <c r="AB20" s="971">
        <v>17.764743112578401</v>
      </c>
    </row>
    <row r="21" spans="1:28" ht="15.6" thickTop="1" thickBot="1" x14ac:dyDescent="0.35">
      <c r="A21" s="1015"/>
      <c r="B21" s="863" t="s">
        <v>346</v>
      </c>
      <c r="C21" s="861">
        <f>Salem!$C$11</f>
        <v>63270.227200000001</v>
      </c>
      <c r="D21" s="861">
        <f>Salem!$C$29</f>
        <v>118525.39250000002</v>
      </c>
      <c r="E21" s="861">
        <f>Salem!$C$49</f>
        <v>20589.558662750002</v>
      </c>
      <c r="F21" s="861">
        <f>SUM(Salem!$C$37:'Salem'!$C$42)</f>
        <v>7506.5125000000007</v>
      </c>
      <c r="G21" s="861">
        <f>SUM(Salem!$C$32:'Salem'!$C$34)</f>
        <v>14300.707829600004</v>
      </c>
      <c r="H21" s="861">
        <f>Salem!$C$35</f>
        <v>2479.5776000000005</v>
      </c>
      <c r="I21" s="861">
        <f>Salem!$C$67</f>
        <v>35486.314973318411</v>
      </c>
      <c r="J21" s="861">
        <f t="shared" si="0"/>
        <v>262158.29126566841</v>
      </c>
      <c r="K21" s="1015"/>
      <c r="L21" s="874" t="s">
        <v>409</v>
      </c>
      <c r="M21" s="875">
        <f>SUM(M7:M20)</f>
        <v>21516.314404803205</v>
      </c>
      <c r="N21" s="875">
        <f>SUM(N7:N20)</f>
        <v>11321.740941328062</v>
      </c>
      <c r="O21" s="875">
        <f>SUM(O7:O20)</f>
        <v>10194.573463475141</v>
      </c>
      <c r="Y21" s="972" t="s">
        <v>350</v>
      </c>
      <c r="Z21" s="973">
        <v>276.52688999999998</v>
      </c>
      <c r="AA21" s="973">
        <v>182.89423300000001</v>
      </c>
      <c r="AB21" s="973">
        <v>93.632656999999995</v>
      </c>
    </row>
    <row r="22" spans="1:28" ht="15" thickBot="1" x14ac:dyDescent="0.35">
      <c r="A22" s="1015"/>
      <c r="B22" s="863" t="s">
        <v>347</v>
      </c>
      <c r="C22" s="861">
        <f>Somerset!$C$11</f>
        <v>8088.4135999999999</v>
      </c>
      <c r="D22" s="861">
        <f>Somerset!$C$29</f>
        <v>50999.234999999993</v>
      </c>
      <c r="E22" s="861">
        <f>Somerset!$C$49</f>
        <v>2410.2717170000001</v>
      </c>
      <c r="F22" s="861">
        <f>SUM(Somerset!$C$37:'Somerset'!$C$42)</f>
        <v>46273.167000000001</v>
      </c>
      <c r="G22" s="861">
        <f>SUM(Somerset!$C$32:'Somerset'!$C$34)</f>
        <v>71276.231809199991</v>
      </c>
      <c r="H22" s="861">
        <f>Somerset!$C$35</f>
        <v>33212.150400000006</v>
      </c>
      <c r="I22" s="861">
        <f>Somerset!$C$67</f>
        <v>16973.968984036717</v>
      </c>
      <c r="J22" s="861">
        <f t="shared" si="0"/>
        <v>229233.43851023671</v>
      </c>
      <c r="K22" s="1015"/>
      <c r="Y22" s="974" t="s">
        <v>409</v>
      </c>
      <c r="Z22" s="975">
        <v>21516.314404803205</v>
      </c>
      <c r="AA22" s="975">
        <v>11321.740941328062</v>
      </c>
      <c r="AB22" s="975">
        <v>10194.573463475141</v>
      </c>
    </row>
    <row r="23" spans="1:28" x14ac:dyDescent="0.3">
      <c r="A23" s="1015"/>
      <c r="B23" s="863" t="s">
        <v>348</v>
      </c>
      <c r="C23" s="861">
        <f>Sussex!$C$11</f>
        <v>9413.5999999999985</v>
      </c>
      <c r="D23" s="861">
        <f>Sussex!$C$29</f>
        <v>151080.80583333332</v>
      </c>
      <c r="E23" s="861">
        <f>Sussex!$C$49</f>
        <v>642.7029262499999</v>
      </c>
      <c r="F23" s="861">
        <f>SUM(Sussex!$C$37:'Sussex'!$C$42)</f>
        <v>15610.903</v>
      </c>
      <c r="G23" s="861">
        <f>SUM(Sussex!$C$32:'Sussex'!$C$34)</f>
        <v>26895.915942</v>
      </c>
      <c r="H23" s="861">
        <f>Sussex!$C$35</f>
        <v>3522.5440000000003</v>
      </c>
      <c r="I23" s="861">
        <f>Sussex!$C$67</f>
        <v>28110.983474770568</v>
      </c>
      <c r="J23" s="861">
        <f t="shared" si="0"/>
        <v>235277.45517635386</v>
      </c>
      <c r="K23" s="1015"/>
      <c r="L23" s="876" t="s">
        <v>1357</v>
      </c>
    </row>
    <row r="24" spans="1:28" x14ac:dyDescent="0.3">
      <c r="A24" s="1015"/>
      <c r="B24" s="1035" t="s">
        <v>349</v>
      </c>
      <c r="C24" s="861">
        <f>Union!$C$11</f>
        <v>0</v>
      </c>
      <c r="D24" s="861">
        <f>Union!$C$29</f>
        <v>36022.504999999997</v>
      </c>
      <c r="E24" s="861">
        <f>Union!$C$49</f>
        <v>2185.83105075</v>
      </c>
      <c r="F24" s="861">
        <f>SUM(Union!$C$37:'Union'!$C$42)</f>
        <v>43599.707999999999</v>
      </c>
      <c r="G24" s="861">
        <f>SUM(Union!$C$32:'Union'!$C$34)</f>
        <v>10201.578937999995</v>
      </c>
      <c r="H24" s="861">
        <f>Union!$C$35</f>
        <v>22937.728000000003</v>
      </c>
      <c r="I24" s="861">
        <f>Union!$C$67</f>
        <v>13465.529517859932</v>
      </c>
      <c r="J24" s="1034">
        <f t="shared" si="0"/>
        <v>128412.88050660993</v>
      </c>
      <c r="K24" s="1015"/>
      <c r="M24" s="858"/>
      <c r="N24" s="858"/>
      <c r="O24" s="858"/>
    </row>
    <row r="25" spans="1:28" ht="15" thickBot="1" x14ac:dyDescent="0.35">
      <c r="A25" s="1015"/>
      <c r="B25" s="877" t="s">
        <v>350</v>
      </c>
      <c r="C25" s="878">
        <f>Warren!$C$11</f>
        <v>51379.524400000002</v>
      </c>
      <c r="D25" s="878">
        <f>Warren!$C$29</f>
        <v>139757.16916666663</v>
      </c>
      <c r="E25" s="878">
        <f>Warren!$C$49</f>
        <v>4950.9983809999994</v>
      </c>
      <c r="F25" s="878">
        <f>SUM(Warren!$C$37:'Warren'!$C$42)</f>
        <v>11292.907999999999</v>
      </c>
      <c r="G25" s="878">
        <f>SUM(Warren!$C$32:'Warren'!$C$34)</f>
        <v>5334.9524939999974</v>
      </c>
      <c r="H25" s="878">
        <f>Warren!$C$35</f>
        <v>873.83360000000016</v>
      </c>
      <c r="I25" s="878">
        <f>Warren!$C$67</f>
        <v>37421.889551591878</v>
      </c>
      <c r="J25" s="878">
        <f t="shared" si="0"/>
        <v>251011.27559325853</v>
      </c>
      <c r="K25" s="1015"/>
      <c r="L25" s="876"/>
    </row>
    <row r="26" spans="1:28" ht="15" thickTop="1" x14ac:dyDescent="0.3">
      <c r="A26" s="1015"/>
      <c r="B26" s="879" t="s">
        <v>351</v>
      </c>
      <c r="C26" s="880">
        <f t="shared" ref="C26:J26" si="1">SUM(C5:C25)</f>
        <v>275249.85920000001</v>
      </c>
      <c r="D26" s="880">
        <f t="shared" si="1"/>
        <v>2124460.7908333335</v>
      </c>
      <c r="E26" s="880">
        <f t="shared" si="1"/>
        <v>114679.5741295</v>
      </c>
      <c r="F26" s="880">
        <f t="shared" si="1"/>
        <v>1524999.3030000003</v>
      </c>
      <c r="G26" s="880">
        <f t="shared" si="1"/>
        <v>1593668.8508182997</v>
      </c>
      <c r="H26" s="880">
        <f t="shared" si="1"/>
        <v>582995.8208000001</v>
      </c>
      <c r="I26" s="880">
        <f t="shared" si="1"/>
        <v>852402.89379172691</v>
      </c>
      <c r="J26" s="880">
        <f t="shared" si="1"/>
        <v>7068457.0925728595</v>
      </c>
      <c r="K26" s="1015"/>
    </row>
    <row r="27" spans="1:28" x14ac:dyDescent="0.3">
      <c r="A27" s="1015"/>
      <c r="B27" s="1015"/>
      <c r="C27" s="1026"/>
      <c r="D27" s="1026"/>
      <c r="E27" s="1026"/>
      <c r="F27" s="1026"/>
      <c r="G27" s="1026"/>
      <c r="H27" s="1026"/>
      <c r="I27" s="1026"/>
      <c r="J27" s="1026"/>
      <c r="K27" s="1015"/>
      <c r="M27" s="858"/>
      <c r="N27" s="858"/>
      <c r="O27" s="858"/>
    </row>
    <row r="28" spans="1:28" x14ac:dyDescent="0.3">
      <c r="B28" s="1049" t="s">
        <v>1560</v>
      </c>
    </row>
    <row r="30" spans="1:28" ht="15" customHeight="1" x14ac:dyDescent="0.3">
      <c r="B30" s="857" t="s">
        <v>1358</v>
      </c>
      <c r="I30" s="881" t="s">
        <v>1359</v>
      </c>
    </row>
    <row r="31" spans="1:28" ht="28.8" x14ac:dyDescent="0.3">
      <c r="B31" s="882" t="s">
        <v>207</v>
      </c>
      <c r="C31" s="858" t="s">
        <v>1346</v>
      </c>
      <c r="D31" s="858" t="s">
        <v>1360</v>
      </c>
      <c r="E31" s="858" t="s">
        <v>1347</v>
      </c>
      <c r="F31" s="858" t="s">
        <v>212</v>
      </c>
      <c r="G31" s="858" t="s">
        <v>163</v>
      </c>
      <c r="I31" s="883" t="s">
        <v>1361</v>
      </c>
      <c r="J31" s="858" t="s">
        <v>1360</v>
      </c>
      <c r="K31" s="858" t="s">
        <v>1347</v>
      </c>
      <c r="L31" s="858" t="s">
        <v>212</v>
      </c>
      <c r="M31" s="858" t="s">
        <v>163</v>
      </c>
    </row>
    <row r="32" spans="1:28" x14ac:dyDescent="0.3">
      <c r="B32" s="857" t="s">
        <v>351</v>
      </c>
      <c r="C32" s="884">
        <f>C26</f>
        <v>275249.85920000001</v>
      </c>
      <c r="D32" s="884">
        <f>D26</f>
        <v>2124460.7908333335</v>
      </c>
      <c r="E32" s="884">
        <f>E26</f>
        <v>114679.5741295</v>
      </c>
      <c r="F32" s="884">
        <f>SUM(F26:H26)</f>
        <v>3701663.9746182999</v>
      </c>
      <c r="G32" s="884">
        <f>I26</f>
        <v>852402.89379172691</v>
      </c>
      <c r="I32" s="858" t="s">
        <v>351</v>
      </c>
      <c r="J32" s="884">
        <f>D26-SUM('Bioenergy Calculator'!$C$18:'Bioenergy Calculator'!$C$25)</f>
        <v>714553.05833333358</v>
      </c>
      <c r="K32" s="871">
        <f>E26-'Bioenergy Calculator'!$C$49</f>
        <v>35820.374129500007</v>
      </c>
      <c r="L32" s="871">
        <f>SUM(F26:H26)</f>
        <v>3701663.9746182999</v>
      </c>
      <c r="M32" s="871">
        <f>I26-SUM('Bioenergy Calculator'!$C$55:'Bioenergy Calculator'!$C$62)</f>
        <v>644779.75444797694</v>
      </c>
      <c r="N32" s="871">
        <f>SUM(J32:M32)</f>
        <v>5096817.1615291107</v>
      </c>
    </row>
    <row r="33" spans="1:14" x14ac:dyDescent="0.3">
      <c r="A33" s="1015"/>
      <c r="B33" s="1015"/>
      <c r="C33" s="1026"/>
      <c r="D33" s="1026"/>
      <c r="E33" s="1026"/>
      <c r="F33" s="1026"/>
      <c r="G33" s="1026"/>
      <c r="H33" s="1026"/>
      <c r="I33" s="1026"/>
      <c r="J33" s="1029"/>
      <c r="K33" s="1030"/>
      <c r="L33" s="1030"/>
      <c r="M33" s="1015"/>
      <c r="N33" s="1015"/>
    </row>
    <row r="34" spans="1:14" x14ac:dyDescent="0.3">
      <c r="A34" s="1015"/>
      <c r="B34" s="1015"/>
      <c r="C34" s="1026"/>
      <c r="D34" s="1026"/>
      <c r="E34" s="1026"/>
      <c r="F34" s="1026"/>
      <c r="G34" s="1026"/>
      <c r="H34" s="1026"/>
      <c r="I34" s="1026"/>
      <c r="J34" s="1026"/>
      <c r="K34" s="1015"/>
      <c r="L34" s="1015"/>
      <c r="M34" s="1015"/>
      <c r="N34" s="1015"/>
    </row>
    <row r="35" spans="1:14" x14ac:dyDescent="0.3">
      <c r="A35" s="1015"/>
      <c r="B35" s="1015"/>
      <c r="C35" s="1026"/>
      <c r="D35" s="1026"/>
      <c r="E35" s="1026"/>
      <c r="F35" s="1026"/>
      <c r="G35" s="1026"/>
      <c r="H35" s="1026"/>
      <c r="I35" s="1026"/>
      <c r="J35" s="1026"/>
      <c r="K35" s="1015"/>
      <c r="L35" s="1015"/>
      <c r="M35" s="1015"/>
      <c r="N35" s="1015"/>
    </row>
    <row r="36" spans="1:14" x14ac:dyDescent="0.3">
      <c r="A36" s="1015"/>
      <c r="B36" s="1015"/>
      <c r="C36" s="1026"/>
      <c r="D36" s="1026"/>
      <c r="E36" s="1026"/>
      <c r="F36" s="1026"/>
      <c r="G36" s="1026"/>
      <c r="H36" s="1026"/>
      <c r="I36" s="1026"/>
      <c r="J36" s="1026"/>
      <c r="K36" s="1015"/>
      <c r="L36" s="1015"/>
      <c r="M36" s="1015"/>
      <c r="N36" s="1015"/>
    </row>
    <row r="37" spans="1:14" x14ac:dyDescent="0.3">
      <c r="A37" s="1015"/>
      <c r="B37" s="1015"/>
      <c r="C37" s="1026"/>
      <c r="D37" s="1026"/>
      <c r="E37" s="1026"/>
      <c r="F37" s="1026"/>
      <c r="G37" s="1026"/>
      <c r="H37" s="1026"/>
      <c r="I37" s="1026"/>
      <c r="J37" s="1026"/>
      <c r="K37" s="1015"/>
      <c r="L37" s="1015"/>
      <c r="M37" s="1015"/>
      <c r="N37" s="1015"/>
    </row>
    <row r="38" spans="1:14" x14ac:dyDescent="0.3">
      <c r="A38" s="1015"/>
      <c r="B38" s="1015"/>
      <c r="C38" s="1026"/>
      <c r="D38" s="1026"/>
      <c r="E38" s="1026"/>
      <c r="F38" s="1026"/>
      <c r="G38" s="1026"/>
      <c r="H38" s="1026"/>
      <c r="I38" s="1026"/>
      <c r="J38" s="1026"/>
      <c r="K38" s="1015"/>
      <c r="L38" s="1015"/>
      <c r="M38" s="1015"/>
      <c r="N38" s="1015"/>
    </row>
    <row r="39" spans="1:14" x14ac:dyDescent="0.3">
      <c r="A39" s="1015"/>
      <c r="B39" s="1015"/>
      <c r="C39" s="1026"/>
      <c r="D39" s="1026"/>
      <c r="E39" s="1026"/>
      <c r="F39" s="1026"/>
      <c r="G39" s="1026"/>
      <c r="H39" s="1026"/>
      <c r="I39" s="1026"/>
      <c r="J39" s="1026"/>
      <c r="K39" s="1015"/>
      <c r="L39" s="1015"/>
      <c r="M39" s="1015"/>
      <c r="N39" s="1015"/>
    </row>
    <row r="40" spans="1:14" x14ac:dyDescent="0.3">
      <c r="A40" s="1015"/>
      <c r="B40" s="1015"/>
      <c r="C40" s="1026"/>
      <c r="D40" s="1026"/>
      <c r="E40" s="1026"/>
      <c r="F40" s="1026"/>
      <c r="G40" s="1026"/>
      <c r="H40" s="1026"/>
      <c r="I40" s="1026"/>
      <c r="J40" s="1026"/>
      <c r="K40" s="1015"/>
      <c r="L40" s="1015"/>
      <c r="M40" s="1015"/>
      <c r="N40" s="1015"/>
    </row>
    <row r="41" spans="1:14" x14ac:dyDescent="0.3">
      <c r="A41" s="1015"/>
      <c r="B41" s="1015"/>
      <c r="C41" s="1026"/>
      <c r="D41" s="1026"/>
      <c r="E41" s="1026"/>
      <c r="F41" s="1026"/>
      <c r="G41" s="1026"/>
      <c r="H41" s="1026"/>
      <c r="I41" s="1026"/>
      <c r="J41" s="1026"/>
      <c r="K41" s="1015"/>
      <c r="L41" s="1015"/>
      <c r="M41" s="1015"/>
      <c r="N41" s="1015"/>
    </row>
    <row r="42" spans="1:14" x14ac:dyDescent="0.3">
      <c r="A42" s="1015"/>
      <c r="B42" s="1015"/>
      <c r="C42" s="1026"/>
      <c r="D42" s="1026"/>
      <c r="E42" s="1026"/>
      <c r="F42" s="1026"/>
      <c r="G42" s="1026"/>
      <c r="H42" s="1026"/>
      <c r="I42" s="1026"/>
      <c r="J42" s="1026"/>
      <c r="K42" s="1015"/>
      <c r="L42" s="1015"/>
      <c r="M42" s="1015"/>
      <c r="N42" s="1015"/>
    </row>
    <row r="43" spans="1:14" x14ac:dyDescent="0.3">
      <c r="A43" s="1015"/>
      <c r="B43" s="1015"/>
      <c r="C43" s="1026"/>
      <c r="D43" s="1026"/>
      <c r="E43" s="1026"/>
      <c r="F43" s="1026"/>
      <c r="G43" s="1026"/>
      <c r="H43" s="1026"/>
      <c r="I43" s="1026"/>
      <c r="J43" s="1026"/>
      <c r="K43" s="1015"/>
      <c r="L43" s="1015"/>
      <c r="M43" s="1015"/>
      <c r="N43" s="1015"/>
    </row>
    <row r="44" spans="1:14" x14ac:dyDescent="0.3">
      <c r="A44" s="1015"/>
      <c r="B44" s="1015"/>
      <c r="C44" s="1026"/>
      <c r="D44" s="1026"/>
      <c r="E44" s="1026"/>
      <c r="F44" s="1026"/>
      <c r="G44" s="1026"/>
      <c r="H44" s="1026"/>
      <c r="I44" s="1026"/>
      <c r="J44" s="1026"/>
      <c r="K44" s="1015"/>
      <c r="L44" s="1015"/>
      <c r="M44" s="1015"/>
      <c r="N44" s="1015"/>
    </row>
    <row r="45" spans="1:14" x14ac:dyDescent="0.3">
      <c r="A45" s="1015"/>
      <c r="B45" s="1015"/>
      <c r="C45" s="1026"/>
      <c r="D45" s="1026"/>
      <c r="E45" s="1026"/>
      <c r="F45" s="1026"/>
      <c r="G45" s="1026"/>
      <c r="H45" s="1026"/>
      <c r="I45" s="1026"/>
      <c r="J45" s="1026"/>
      <c r="K45" s="1015"/>
      <c r="L45" s="1015"/>
      <c r="M45" s="1015"/>
      <c r="N45" s="1015"/>
    </row>
    <row r="46" spans="1:14" x14ac:dyDescent="0.3">
      <c r="A46" s="1015"/>
      <c r="B46" s="1015"/>
      <c r="C46" s="1026"/>
      <c r="D46" s="1026"/>
      <c r="E46" s="1026"/>
      <c r="F46" s="1026"/>
      <c r="G46" s="1026"/>
      <c r="H46" s="1026"/>
      <c r="I46" s="1026"/>
      <c r="J46" s="1026"/>
      <c r="K46" s="1015"/>
      <c r="L46" s="1015"/>
      <c r="M46" s="1015"/>
      <c r="N46" s="1015"/>
    </row>
    <row r="47" spans="1:14" x14ac:dyDescent="0.3">
      <c r="A47" s="1015"/>
      <c r="B47" s="1015"/>
      <c r="C47" s="1026"/>
      <c r="D47" s="1026"/>
      <c r="E47" s="1026"/>
      <c r="F47" s="1026"/>
      <c r="G47" s="1026"/>
      <c r="H47" s="1026"/>
      <c r="I47" s="1026"/>
      <c r="J47" s="1026"/>
      <c r="K47" s="1015"/>
      <c r="L47" s="1015"/>
      <c r="M47" s="1015"/>
      <c r="N47" s="1015"/>
    </row>
    <row r="48" spans="1:14" x14ac:dyDescent="0.3">
      <c r="A48" s="1015"/>
      <c r="B48" s="1015"/>
      <c r="C48" s="1026"/>
      <c r="D48" s="1026"/>
      <c r="E48" s="1026"/>
      <c r="F48" s="1026"/>
      <c r="G48" s="1026"/>
      <c r="H48" s="1026"/>
      <c r="I48" s="1026"/>
      <c r="J48" s="1026"/>
      <c r="K48" s="1015"/>
      <c r="L48" s="1015"/>
      <c r="M48" s="1015"/>
      <c r="N48" s="1015"/>
    </row>
    <row r="49" spans="1:16" ht="15" thickBot="1" x14ac:dyDescent="0.35">
      <c r="A49" s="1015"/>
      <c r="B49" s="1015"/>
      <c r="C49" s="1026"/>
      <c r="D49" s="1026"/>
      <c r="E49" s="1026"/>
      <c r="F49" s="1026"/>
      <c r="G49" s="1026"/>
      <c r="H49" s="1031" t="s">
        <v>1362</v>
      </c>
      <c r="I49" s="1026"/>
      <c r="J49" s="1026"/>
      <c r="K49" s="1015"/>
      <c r="L49" s="1015"/>
      <c r="M49" s="1015"/>
      <c r="N49" s="1015"/>
    </row>
    <row r="50" spans="1:16" x14ac:dyDescent="0.3">
      <c r="C50" s="1213" t="s">
        <v>1363</v>
      </c>
      <c r="D50" s="1213"/>
      <c r="E50" s="1213"/>
      <c r="F50" s="1213"/>
      <c r="H50" s="857"/>
      <c r="I50" s="1225" t="s">
        <v>618</v>
      </c>
      <c r="J50" s="1226"/>
      <c r="K50" s="1226"/>
      <c r="L50" s="1226"/>
      <c r="M50" s="1226"/>
      <c r="N50" s="1226"/>
      <c r="O50" s="1226"/>
      <c r="P50" s="1227"/>
    </row>
    <row r="51" spans="1:16" ht="40.200000000000003" x14ac:dyDescent="0.3">
      <c r="B51" s="885" t="s">
        <v>322</v>
      </c>
      <c r="C51" s="886">
        <v>2010</v>
      </c>
      <c r="D51" s="886">
        <v>2015</v>
      </c>
      <c r="E51" s="886">
        <v>2020</v>
      </c>
      <c r="F51" s="886">
        <v>2025</v>
      </c>
      <c r="H51" s="887" t="s">
        <v>322</v>
      </c>
      <c r="I51" s="888">
        <v>2010</v>
      </c>
      <c r="J51" s="889">
        <v>2015</v>
      </c>
      <c r="K51" s="889">
        <v>2020</v>
      </c>
      <c r="L51" s="889">
        <v>2025</v>
      </c>
      <c r="M51" s="890"/>
      <c r="N51" s="891" t="s">
        <v>592</v>
      </c>
      <c r="O51" s="891" t="s">
        <v>593</v>
      </c>
      <c r="P51" s="892" t="s">
        <v>594</v>
      </c>
    </row>
    <row r="52" spans="1:16" x14ac:dyDescent="0.3">
      <c r="B52" s="860" t="s">
        <v>403</v>
      </c>
      <c r="C52" s="861">
        <f>'Biomass Data Assumptions'!$I7</f>
        <v>237557.64</v>
      </c>
      <c r="D52" s="861">
        <f>C52*(1+'Biomass Data Assumptions'!G$92)*(1+'Biomass Data Assumptions'!C$82)</f>
        <v>244853.36066420557</v>
      </c>
      <c r="E52" s="861">
        <f>D52*(1+'Biomass Data Assumptions'!H$92)*(1+'Biomass Data Assumptions'!D$82)</f>
        <v>260063.32574993148</v>
      </c>
      <c r="F52" s="861">
        <f>E52*(1+'Biomass Data Assumptions'!I$92)*(1+'Biomass Data Assumptions'!E$82)</f>
        <v>285333.89069245843</v>
      </c>
      <c r="H52" s="893" t="s">
        <v>403</v>
      </c>
      <c r="I52" s="894">
        <f>'Biomass Data Assumptions'!$B92</f>
        <v>274549</v>
      </c>
      <c r="J52" s="895">
        <f>'Biomass Data Assumptions'!$C92</f>
        <v>283173.04471544718</v>
      </c>
      <c r="K52" s="895">
        <f>'Biomass Data Assumptions'!$D92</f>
        <v>292000.00813008129</v>
      </c>
      <c r="L52" s="895">
        <f>'Biomass Data Assumptions'!$E92</f>
        <v>301841.56504065043</v>
      </c>
      <c r="M52" s="896"/>
      <c r="N52" s="897">
        <f>'Biomass Data Assumptions'!$G92</f>
        <v>3.1411677753141166E-2</v>
      </c>
      <c r="O52" s="898">
        <f>'Biomass Data Assumptions'!$H92</f>
        <v>6.3562453806356251E-2</v>
      </c>
      <c r="P52" s="899">
        <f>'Biomass Data Assumptions'!$I92</f>
        <v>9.9408721359940874E-2</v>
      </c>
    </row>
    <row r="53" spans="1:16" x14ac:dyDescent="0.3">
      <c r="B53" s="863" t="s">
        <v>325</v>
      </c>
      <c r="C53" s="861">
        <f>'Biomass Data Assumptions'!$I8</f>
        <v>546419.4</v>
      </c>
      <c r="D53" s="861">
        <f>C53*(1+'Biomass Data Assumptions'!G$93)*(1+'Biomass Data Assumptions'!C$82)</f>
        <v>547459.68729301821</v>
      </c>
      <c r="E53" s="861">
        <f>D53*(1+'Biomass Data Assumptions'!H$93)*(1+'Biomass Data Assumptions'!D$82)</f>
        <v>550034.0409828882</v>
      </c>
      <c r="F53" s="861">
        <f>E53*(1+'Biomass Data Assumptions'!I$93)*(1+'Biomass Data Assumptions'!E$82)</f>
        <v>553972.39803774445</v>
      </c>
      <c r="H53" s="893" t="s">
        <v>325</v>
      </c>
      <c r="I53" s="894">
        <f>'Biomass Data Assumptions'!$B93</f>
        <v>905116</v>
      </c>
      <c r="J53" s="895">
        <f>'Biomass Data Assumptions'!$C93</f>
        <v>907455.32666591753</v>
      </c>
      <c r="K53" s="895">
        <f>'Biomass Data Assumptions'!$D93</f>
        <v>910608.33217215422</v>
      </c>
      <c r="L53" s="895">
        <f>'Biomass Data Assumptions'!$E93</f>
        <v>913456.20811327116</v>
      </c>
      <c r="M53" s="896"/>
      <c r="N53" s="897">
        <f>'Biomass Data Assumptions'!$G93</f>
        <v>2.5845600629284191E-3</v>
      </c>
      <c r="O53" s="898">
        <f>'Biomass Data Assumptions'!$H93</f>
        <v>6.0680975390493318E-3</v>
      </c>
      <c r="P53" s="899">
        <f>'Biomass Data Assumptions'!$I93</f>
        <v>9.2145184852230593E-3</v>
      </c>
    </row>
    <row r="54" spans="1:16" x14ac:dyDescent="0.3">
      <c r="B54" s="863" t="s">
        <v>328</v>
      </c>
      <c r="C54" s="861">
        <f>'Biomass Data Assumptions'!$I9</f>
        <v>266576.26999999996</v>
      </c>
      <c r="D54" s="861">
        <f>C54*(1+'Biomass Data Assumptions'!G$94)*(1+'Biomass Data Assumptions'!C$82)</f>
        <v>273810.08802131267</v>
      </c>
      <c r="E54" s="861">
        <f>D54*(1+'Biomass Data Assumptions'!H$94)*(1+'Biomass Data Assumptions'!D$82)</f>
        <v>290624.19375052879</v>
      </c>
      <c r="F54" s="861">
        <f>E54*(1+'Biomass Data Assumptions'!I$94)*(1+'Biomass Data Assumptions'!E$82)</f>
        <v>315292.46686084633</v>
      </c>
      <c r="H54" s="893" t="s">
        <v>328</v>
      </c>
      <c r="I54" s="894">
        <f>'Biomass Data Assumptions'!$B94</f>
        <v>448734</v>
      </c>
      <c r="J54" s="895">
        <f>'Biomass Data Assumptions'!$C94</f>
        <v>461224.01481481479</v>
      </c>
      <c r="K54" s="895">
        <f>'Biomass Data Assumptions'!$D94</f>
        <v>476937.25925925927</v>
      </c>
      <c r="L54" s="895">
        <f>'Biomass Data Assumptions'!$E94</f>
        <v>487815.65925925924</v>
      </c>
      <c r="M54" s="896"/>
      <c r="N54" s="897">
        <f>'Biomass Data Assumptions'!$G94</f>
        <v>2.7833894500561167E-2</v>
      </c>
      <c r="O54" s="898">
        <f>'Biomass Data Assumptions'!$H94</f>
        <v>6.2850729517396189E-2</v>
      </c>
      <c r="P54" s="899">
        <f>'Biomass Data Assumptions'!$I94</f>
        <v>8.7093153759820421E-2</v>
      </c>
    </row>
    <row r="55" spans="1:16" x14ac:dyDescent="0.3">
      <c r="B55" s="863" t="s">
        <v>331</v>
      </c>
      <c r="C55" s="861">
        <f>'Biomass Data Assumptions'!$I10</f>
        <v>84631.789999999979</v>
      </c>
      <c r="D55" s="861">
        <f>C55*(1+'Biomass Data Assumptions'!G$95)*(1+'Biomass Data Assumptions'!C$82)</f>
        <v>84999.077086163787</v>
      </c>
      <c r="E55" s="861">
        <f>D55*(1+'Biomass Data Assumptions'!H$95)*(1+'Biomass Data Assumptions'!D$82)</f>
        <v>86834.851764336432</v>
      </c>
      <c r="F55" s="861">
        <f>E55*(1+'Biomass Data Assumptions'!I$95)*(1+'Biomass Data Assumptions'!E$82)</f>
        <v>89771.559054718251</v>
      </c>
      <c r="H55" s="893" t="s">
        <v>331</v>
      </c>
      <c r="I55" s="894">
        <f>'Biomass Data Assumptions'!$B95</f>
        <v>513657</v>
      </c>
      <c r="J55" s="895">
        <f>'Biomass Data Assumptions'!$C95</f>
        <v>516236.69519026461</v>
      </c>
      <c r="K55" s="895">
        <f>'Biomass Data Assumptions'!$D95</f>
        <v>525464.06644774962</v>
      </c>
      <c r="L55" s="895">
        <f>'Biomass Data Assumptions'!$E95</f>
        <v>532111.74251497001</v>
      </c>
      <c r="M55" s="896"/>
      <c r="N55" s="897">
        <f>'Biomass Data Assumptions'!$G95</f>
        <v>5.0222136372416459E-3</v>
      </c>
      <c r="O55" s="898">
        <f>'Biomass Data Assumptions'!$H95</f>
        <v>2.298628549352907E-2</v>
      </c>
      <c r="P55" s="899">
        <f>'Biomass Data Assumptions'!$I95</f>
        <v>3.5928143712574849E-2</v>
      </c>
    </row>
    <row r="56" spans="1:16" x14ac:dyDescent="0.3">
      <c r="B56" s="863" t="s">
        <v>333</v>
      </c>
      <c r="C56" s="861">
        <f>'Biomass Data Assumptions'!$I11</f>
        <v>91009.32</v>
      </c>
      <c r="D56" s="861">
        <f>C56*(1+'Biomass Data Assumptions'!G$96)*(1+'Biomass Data Assumptions'!C$82)</f>
        <v>88497.126858120711</v>
      </c>
      <c r="E56" s="861">
        <f>D56*(1+'Biomass Data Assumptions'!H$96)*(1+'Biomass Data Assumptions'!D$82)</f>
        <v>86087.432802404306</v>
      </c>
      <c r="F56" s="861">
        <f>E56*(1+'Biomass Data Assumptions'!I$96)*(1+'Biomass Data Assumptions'!E$82)</f>
        <v>83508.436076729253</v>
      </c>
      <c r="H56" s="893" t="s">
        <v>333</v>
      </c>
      <c r="I56" s="894">
        <f>'Biomass Data Assumptions'!$B96</f>
        <v>97265</v>
      </c>
      <c r="J56" s="895">
        <f>'Biomass Data Assumptions'!$C96</f>
        <v>94644.388601036277</v>
      </c>
      <c r="K56" s="895">
        <f>'Biomass Data Assumptions'!$D96</f>
        <v>94745.181347150254</v>
      </c>
      <c r="L56" s="895">
        <f>'Biomass Data Assumptions'!$E96</f>
        <v>94543.595854922285</v>
      </c>
      <c r="M56" s="896"/>
      <c r="N56" s="897">
        <f>'Biomass Data Assumptions'!$G96</f>
        <v>-2.6943005181347152E-2</v>
      </c>
      <c r="O56" s="898">
        <f>'Biomass Data Assumptions'!$H96</f>
        <v>-2.5906735751295335E-2</v>
      </c>
      <c r="P56" s="899">
        <f>'Biomass Data Assumptions'!$I96</f>
        <v>-2.7979274611398965E-2</v>
      </c>
    </row>
    <row r="57" spans="1:16" x14ac:dyDescent="0.3">
      <c r="B57" s="863" t="s">
        <v>335</v>
      </c>
      <c r="C57" s="861">
        <f>'Biomass Data Assumptions'!$I12</f>
        <v>113785.04000000001</v>
      </c>
      <c r="D57" s="861">
        <f>C57*(1+'Biomass Data Assumptions'!G$97)*(1+'Biomass Data Assumptions'!C$82)</f>
        <v>116971.07961307642</v>
      </c>
      <c r="E57" s="861">
        <f>D57*(1+'Biomass Data Assumptions'!H$97)*(1+'Biomass Data Assumptions'!D$82)</f>
        <v>123815.06929209291</v>
      </c>
      <c r="F57" s="861">
        <f>E57*(1+'Biomass Data Assumptions'!I$97)*(1+'Biomass Data Assumptions'!E$82)</f>
        <v>134674.25376868519</v>
      </c>
      <c r="H57" s="893" t="s">
        <v>335</v>
      </c>
      <c r="I57" s="894">
        <f>'Biomass Data Assumptions'!$B97</f>
        <v>156898</v>
      </c>
      <c r="J57" s="895">
        <f>'Biomass Data Assumptions'!$C97</f>
        <v>161400.8125</v>
      </c>
      <c r="K57" s="895">
        <f>'Biomass Data Assumptions'!$D97</f>
        <v>166303.875</v>
      </c>
      <c r="L57" s="895">
        <f>'Biomass Data Assumptions'!$E97</f>
        <v>171006.8125</v>
      </c>
      <c r="M57" s="896"/>
      <c r="N57" s="897">
        <f>'Biomass Data Assumptions'!$G97</f>
        <v>2.8698979591836735E-2</v>
      </c>
      <c r="O57" s="898">
        <f>'Biomass Data Assumptions'!$H97</f>
        <v>5.9948979591836732E-2</v>
      </c>
      <c r="P57" s="899">
        <f>'Biomass Data Assumptions'!$I97</f>
        <v>8.9923469387755098E-2</v>
      </c>
    </row>
    <row r="58" spans="1:16" x14ac:dyDescent="0.3">
      <c r="B58" s="863" t="s">
        <v>336</v>
      </c>
      <c r="C58" s="861">
        <f>'Biomass Data Assumptions'!$I13</f>
        <v>101272.90999999997</v>
      </c>
      <c r="D58" s="861">
        <f>C58*(1+'Biomass Data Assumptions'!G$98)*(1+'Biomass Data Assumptions'!C$82)</f>
        <v>101111.79618119165</v>
      </c>
      <c r="E58" s="861">
        <f>D58*(1+'Biomass Data Assumptions'!H$98)*(1+'Biomass Data Assumptions'!D$82)</f>
        <v>100974.53712014716</v>
      </c>
      <c r="F58" s="861">
        <f>E58*(1+'Biomass Data Assumptions'!I$98)*(1+'Biomass Data Assumptions'!E$82)</f>
        <v>100847.81596076896</v>
      </c>
      <c r="H58" s="893" t="s">
        <v>336</v>
      </c>
      <c r="I58" s="894">
        <f>'Biomass Data Assumptions'!$B98</f>
        <v>783969</v>
      </c>
      <c r="J58" s="895">
        <f>'Biomass Data Assumptions'!$C98</f>
        <v>783253.60657019948</v>
      </c>
      <c r="K58" s="895">
        <f>'Biomass Data Assumptions'!$D98</f>
        <v>783969</v>
      </c>
      <c r="L58" s="895">
        <f>'Biomass Data Assumptions'!$E98</f>
        <v>784582.19436840049</v>
      </c>
      <c r="M58" s="896"/>
      <c r="N58" s="897">
        <f>'Biomass Data Assumptions'!$G98</f>
        <v>-9.1252770173380268E-4</v>
      </c>
      <c r="O58" s="898">
        <f>'Biomass Data Assumptions'!$H98</f>
        <v>0</v>
      </c>
      <c r="P58" s="899">
        <f>'Biomass Data Assumptions'!$I98</f>
        <v>7.8216660148611649E-4</v>
      </c>
    </row>
    <row r="59" spans="1:16" x14ac:dyDescent="0.3">
      <c r="B59" s="863" t="s">
        <v>337</v>
      </c>
      <c r="C59" s="861">
        <f>'Biomass Data Assumptions'!$I14</f>
        <v>25379.160000000003</v>
      </c>
      <c r="D59" s="861">
        <f>C59*(1+'Biomass Data Assumptions'!G$99)*(1+'Biomass Data Assumptions'!C$82)</f>
        <v>26558.743551937372</v>
      </c>
      <c r="E59" s="861">
        <f>D59*(1+'Biomass Data Assumptions'!H$99)*(1+'Biomass Data Assumptions'!D$82)</f>
        <v>29127.104163897235</v>
      </c>
      <c r="F59" s="861">
        <f>E59*(1+'Biomass Data Assumptions'!I$99)*(1+'Biomass Data Assumptions'!E$82)</f>
        <v>33455.218630738455</v>
      </c>
      <c r="H59" s="893" t="s">
        <v>337</v>
      </c>
      <c r="I59" s="894">
        <f>'Biomass Data Assumptions'!$B99</f>
        <v>288288</v>
      </c>
      <c r="J59" s="895">
        <f>'Biomass Data Assumptions'!$C99</f>
        <v>301892.1526717557</v>
      </c>
      <c r="K59" s="895">
        <f>'Biomass Data Assumptions'!$D99</f>
        <v>316596.64122137404</v>
      </c>
      <c r="L59" s="895">
        <f>'Biomass Data Assumptions'!$E99</f>
        <v>331801.28244274808</v>
      </c>
      <c r="M59" s="896"/>
      <c r="N59" s="897">
        <f>'Biomass Data Assumptions'!$G99</f>
        <v>4.7189451769604443E-2</v>
      </c>
      <c r="O59" s="898">
        <f>'Biomass Data Assumptions'!$H99</f>
        <v>9.8195697432338649E-2</v>
      </c>
      <c r="P59" s="899">
        <f>'Biomass Data Assumptions'!$I99</f>
        <v>0.15093684941013186</v>
      </c>
    </row>
    <row r="60" spans="1:16" x14ac:dyDescent="0.3">
      <c r="B60" s="863" t="s">
        <v>338</v>
      </c>
      <c r="C60" s="861">
        <f>'Biomass Data Assumptions'!$I15</f>
        <v>368946.44</v>
      </c>
      <c r="D60" s="861">
        <f>C60*(1+'Biomass Data Assumptions'!G$100)*(1+'Biomass Data Assumptions'!C$82)</f>
        <v>369131.81732797867</v>
      </c>
      <c r="E60" s="861">
        <f>D60*(1+'Biomass Data Assumptions'!H$100)*(1+'Biomass Data Assumptions'!D$82)</f>
        <v>369813.62716583395</v>
      </c>
      <c r="F60" s="861">
        <f>E60*(1+'Biomass Data Assumptions'!I$100)*(1+'Biomass Data Assumptions'!E$82)</f>
        <v>371367.09164529032</v>
      </c>
      <c r="H60" s="893" t="s">
        <v>338</v>
      </c>
      <c r="I60" s="894">
        <f>'Biomass Data Assumptions'!$B100</f>
        <v>634266</v>
      </c>
      <c r="J60" s="895">
        <f>'Biomass Data Assumptions'!$C100</f>
        <v>635015.85002533358</v>
      </c>
      <c r="K60" s="895">
        <f>'Biomass Data Assumptions'!$D100</f>
        <v>636301.30721161969</v>
      </c>
      <c r="L60" s="895">
        <f>'Biomass Data Assumptions'!$E100</f>
        <v>638229.49299104884</v>
      </c>
      <c r="M60" s="896"/>
      <c r="N60" s="897">
        <f>'Biomass Data Assumptions'!$G100</f>
        <v>1.1822327309576085E-3</v>
      </c>
      <c r="O60" s="898">
        <f>'Biomass Data Assumptions'!$H100</f>
        <v>3.2089174125992229E-3</v>
      </c>
      <c r="P60" s="899">
        <f>'Biomass Data Assumptions'!$I100</f>
        <v>6.2489444350616449E-3</v>
      </c>
    </row>
    <row r="61" spans="1:16" x14ac:dyDescent="0.3">
      <c r="B61" s="863" t="s">
        <v>339</v>
      </c>
      <c r="C61" s="861">
        <f>'Biomass Data Assumptions'!$I16</f>
        <v>49066.770000000004</v>
      </c>
      <c r="D61" s="861">
        <f>C61*(1+'Biomass Data Assumptions'!G$101)*(1+'Biomass Data Assumptions'!C$82)</f>
        <v>50431.17255990058</v>
      </c>
      <c r="E61" s="861">
        <f>D61*(1+'Biomass Data Assumptions'!H$101)*(1+'Biomass Data Assumptions'!D$82)</f>
        <v>54087.535444982452</v>
      </c>
      <c r="F61" s="861">
        <f>E61*(1+'Biomass Data Assumptions'!I$101)*(1+'Biomass Data Assumptions'!E$82)</f>
        <v>60132.029477590928</v>
      </c>
      <c r="H61" s="893" t="s">
        <v>339</v>
      </c>
      <c r="I61" s="894">
        <f>'Biomass Data Assumptions'!$B101</f>
        <v>128349</v>
      </c>
      <c r="J61" s="895">
        <f>'Biomass Data Assumptions'!$C101</f>
        <v>132007.63867488445</v>
      </c>
      <c r="K61" s="895">
        <f>'Biomass Data Assumptions'!$D101</f>
        <v>137841.68412942989</v>
      </c>
      <c r="L61" s="895">
        <f>'Biomass Data Assumptions'!$E101</f>
        <v>142983.55469953775</v>
      </c>
      <c r="M61" s="896"/>
      <c r="N61" s="897">
        <f>'Biomass Data Assumptions'!$G101</f>
        <v>2.8505392912172575E-2</v>
      </c>
      <c r="O61" s="898">
        <f>'Biomass Data Assumptions'!$H101</f>
        <v>7.3959938366718034E-2</v>
      </c>
      <c r="P61" s="899">
        <f>'Biomass Data Assumptions'!$I101</f>
        <v>0.1140215716486903</v>
      </c>
    </row>
    <row r="62" spans="1:16" x14ac:dyDescent="0.3">
      <c r="B62" s="863" t="s">
        <v>340</v>
      </c>
      <c r="C62" s="861">
        <f>'Biomass Data Assumptions'!$I17</f>
        <v>235768.83</v>
      </c>
      <c r="D62" s="861">
        <f>C62*(1+'Biomass Data Assumptions'!G$102)*(1+'Biomass Data Assumptions'!C$82)</f>
        <v>240972.30404059478</v>
      </c>
      <c r="E62" s="861">
        <f>D62*(1+'Biomass Data Assumptions'!H$102)*(1+'Biomass Data Assumptions'!D$82)</f>
        <v>251997.61790423706</v>
      </c>
      <c r="F62" s="861">
        <f>E62*(1+'Biomass Data Assumptions'!I$102)*(1+'Biomass Data Assumptions'!E$82)</f>
        <v>270659.85090754565</v>
      </c>
      <c r="H62" s="893" t="s">
        <v>340</v>
      </c>
      <c r="I62" s="894">
        <f>'Biomass Data Assumptions'!$B102</f>
        <v>366513</v>
      </c>
      <c r="J62" s="895">
        <f>'Biomass Data Assumptions'!$C102</f>
        <v>374856.54882062535</v>
      </c>
      <c r="K62" s="895">
        <f>'Biomass Data Assumptions'!$D102</f>
        <v>383803.24574876577</v>
      </c>
      <c r="L62" s="895">
        <f>'Biomass Data Assumptions'!$E102</f>
        <v>394458.86231486558</v>
      </c>
      <c r="M62" s="896"/>
      <c r="N62" s="897">
        <f>'Biomass Data Assumptions'!$G102</f>
        <v>2.2764673614920461E-2</v>
      </c>
      <c r="O62" s="898">
        <f>'Biomass Data Assumptions'!$H102</f>
        <v>4.7174986286341196E-2</v>
      </c>
      <c r="P62" s="899">
        <f>'Biomass Data Assumptions'!$I102</f>
        <v>7.624794295117937E-2</v>
      </c>
    </row>
    <row r="63" spans="1:16" x14ac:dyDescent="0.3">
      <c r="B63" s="863" t="s">
        <v>341</v>
      </c>
      <c r="C63" s="861">
        <f>'Biomass Data Assumptions'!$I18</f>
        <v>534640.15</v>
      </c>
      <c r="D63" s="861">
        <f>C63*(1+'Biomass Data Assumptions'!G$103)*(1+'Biomass Data Assumptions'!C$82)</f>
        <v>547543.9227165652</v>
      </c>
      <c r="E63" s="861">
        <f>D63*(1+'Biomass Data Assumptions'!H$103)*(1+'Biomass Data Assumptions'!D$82)</f>
        <v>578412.43573235732</v>
      </c>
      <c r="F63" s="861">
        <f>E63*(1+'Biomass Data Assumptions'!I$103)*(1+'Biomass Data Assumptions'!E$82)</f>
        <v>623616.72244257305</v>
      </c>
      <c r="H63" s="893" t="s">
        <v>341</v>
      </c>
      <c r="I63" s="894">
        <f>'Biomass Data Assumptions'!$B103</f>
        <v>809858</v>
      </c>
      <c r="J63" s="895">
        <f>'Biomass Data Assumptions'!$C103</f>
        <v>829967.80644339742</v>
      </c>
      <c r="K63" s="895">
        <f>'Biomass Data Assumptions'!$D103</f>
        <v>856677.75448873045</v>
      </c>
      <c r="L63" s="895">
        <f>'Biomass Data Assumptions'!$E103</f>
        <v>874931.27110658342</v>
      </c>
      <c r="M63" s="896"/>
      <c r="N63" s="897">
        <f>'Biomass Data Assumptions'!$G103</f>
        <v>2.4831274672099835E-2</v>
      </c>
      <c r="O63" s="898">
        <f>'Biomass Data Assumptions'!$H103</f>
        <v>5.7812301031452948E-2</v>
      </c>
      <c r="P63" s="899">
        <f>'Biomass Data Assumptions'!$I103</f>
        <v>8.0351458041512794E-2</v>
      </c>
    </row>
    <row r="64" spans="1:16" x14ac:dyDescent="0.3">
      <c r="B64" s="863" t="s">
        <v>342</v>
      </c>
      <c r="C64" s="861">
        <f>'Biomass Data Assumptions'!$I19</f>
        <v>429744.57</v>
      </c>
      <c r="D64" s="861">
        <f>C64*(1+'Biomass Data Assumptions'!G$104)*(1+'Biomass Data Assumptions'!C$82)</f>
        <v>438083.31798313581</v>
      </c>
      <c r="E64" s="861">
        <f>D64*(1+'Biomass Data Assumptions'!H$104)*(1+'Biomass Data Assumptions'!D$82)</f>
        <v>457253.64646325418</v>
      </c>
      <c r="F64" s="861">
        <f>E64*(1+'Biomass Data Assumptions'!I$104)*(1+'Biomass Data Assumptions'!E$82)</f>
        <v>487104.59287596808</v>
      </c>
      <c r="H64" s="893" t="s">
        <v>125</v>
      </c>
      <c r="I64" s="894">
        <f>'Biomass Data Assumptions'!$B104</f>
        <v>630380</v>
      </c>
      <c r="J64" s="895">
        <f>'Biomass Data Assumptions'!$C104</f>
        <v>643048.48730331822</v>
      </c>
      <c r="K64" s="895">
        <f>'Biomass Data Assumptions'!$D104</f>
        <v>658859.545100483</v>
      </c>
      <c r="L64" s="895">
        <f>'Biomass Data Assumptions'!$E104</f>
        <v>672902.90699485899</v>
      </c>
      <c r="M64" s="896"/>
      <c r="N64" s="897">
        <f>'Biomass Data Assumptions'!$G104</f>
        <v>2.0096588253622059E-2</v>
      </c>
      <c r="O64" s="898">
        <f>'Biomass Data Assumptions'!$H104</f>
        <v>4.5178376694189129E-2</v>
      </c>
      <c r="P64" s="899">
        <f>'Biomass Data Assumptions'!$I104</f>
        <v>6.7455990029599622E-2</v>
      </c>
    </row>
    <row r="65" spans="2:16" x14ac:dyDescent="0.3">
      <c r="B65" s="863" t="s">
        <v>343</v>
      </c>
      <c r="C65" s="861">
        <f>'Biomass Data Assumptions'!$I20</f>
        <v>283217.56</v>
      </c>
      <c r="D65" s="861">
        <f>C65*(1+'Biomass Data Assumptions'!G$105)*(1+'Biomass Data Assumptions'!C$82)</f>
        <v>288489.29364235286</v>
      </c>
      <c r="E65" s="861">
        <f>D65*(1+'Biomass Data Assumptions'!H$105)*(1+'Biomass Data Assumptions'!D$82)</f>
        <v>300819.17319717066</v>
      </c>
      <c r="F65" s="861">
        <f>E65*(1+'Biomass Data Assumptions'!I$105)*(1+'Biomass Data Assumptions'!E$82)</f>
        <v>320491.91806380142</v>
      </c>
      <c r="H65" s="893" t="s">
        <v>343</v>
      </c>
      <c r="I65" s="894">
        <f>'Biomass Data Assumptions'!$B105</f>
        <v>492276</v>
      </c>
      <c r="J65" s="895">
        <f>'Biomass Data Assumptions'!$C105</f>
        <v>501779.78804682684</v>
      </c>
      <c r="K65" s="895">
        <f>'Biomass Data Assumptions'!$D105</f>
        <v>514013.38755391253</v>
      </c>
      <c r="L65" s="895">
        <f>'Biomass Data Assumptions'!$E105</f>
        <v>525539.25816389406</v>
      </c>
      <c r="M65" s="896"/>
      <c r="N65" s="897">
        <f>'Biomass Data Assumptions'!$G105</f>
        <v>1.9305812281782707E-2</v>
      </c>
      <c r="O65" s="898">
        <f>'Biomass Data Assumptions'!$H105</f>
        <v>4.4156911070034915E-2</v>
      </c>
      <c r="P65" s="899">
        <f>'Biomass Data Assumptions'!$I105</f>
        <v>6.7570342986239471E-2</v>
      </c>
    </row>
    <row r="66" spans="2:16" x14ac:dyDescent="0.3">
      <c r="B66" s="863" t="s">
        <v>344</v>
      </c>
      <c r="C66" s="861">
        <f>'Biomass Data Assumptions'!$I21</f>
        <v>391583.01999999996</v>
      </c>
      <c r="D66" s="861">
        <f>C66*(1+'Biomass Data Assumptions'!G$106)*(1+'Biomass Data Assumptions'!C$82)</f>
        <v>406565.94178178179</v>
      </c>
      <c r="E66" s="861">
        <f>D66*(1+'Biomass Data Assumptions'!H$106)*(1+'Biomass Data Assumptions'!D$82)</f>
        <v>448703.58586207643</v>
      </c>
      <c r="F66" s="861">
        <f>E66*(1+'Biomass Data Assumptions'!I$106)*(1+'Biomass Data Assumptions'!E$82)</f>
        <v>520181.79865260172</v>
      </c>
      <c r="H66" s="893" t="s">
        <v>344</v>
      </c>
      <c r="I66" s="894">
        <f>'Biomass Data Assumptions'!$B106</f>
        <v>576567</v>
      </c>
      <c r="J66" s="895">
        <f>'Biomass Data Assumptions'!$C106</f>
        <v>599034.59241706156</v>
      </c>
      <c r="K66" s="895">
        <f>'Biomass Data Assumptions'!$D106</f>
        <v>637189.01737756713</v>
      </c>
      <c r="L66" s="895">
        <f>'Biomass Data Assumptions'!$E106</f>
        <v>669777.14691943128</v>
      </c>
      <c r="M66" s="896"/>
      <c r="N66" s="897">
        <f>'Biomass Data Assumptions'!$G106</f>
        <v>3.8967877830437071E-2</v>
      </c>
      <c r="O66" s="898">
        <f>'Biomass Data Assumptions'!$H106</f>
        <v>0.10514305774969282</v>
      </c>
      <c r="P66" s="899">
        <f>'Biomass Data Assumptions'!$I106</f>
        <v>0.1616640337019484</v>
      </c>
    </row>
    <row r="67" spans="2:16" x14ac:dyDescent="0.3">
      <c r="B67" s="863" t="s">
        <v>345</v>
      </c>
      <c r="C67" s="861">
        <f>'Biomass Data Assumptions'!$I22</f>
        <v>335922.6</v>
      </c>
      <c r="D67" s="861">
        <f>C67*(1+'Biomass Data Assumptions'!G$107)*(1+'Biomass Data Assumptions'!C$82)</f>
        <v>336450.58416734671</v>
      </c>
      <c r="E67" s="861">
        <f>D67*(1+'Biomass Data Assumptions'!H$107)*(1+'Biomass Data Assumptions'!D$82)</f>
        <v>337576.13380773272</v>
      </c>
      <c r="F67" s="861">
        <f>E67*(1+'Biomass Data Assumptions'!I$107)*(1+'Biomass Data Assumptions'!E$82)</f>
        <v>339786.05842299992</v>
      </c>
      <c r="H67" s="893" t="s">
        <v>345</v>
      </c>
      <c r="I67" s="894">
        <f>'Biomass Data Assumptions'!$B107</f>
        <v>501226</v>
      </c>
      <c r="J67" s="895">
        <f>'Biomass Data Assumptions'!$C107</f>
        <v>502354.8873873874</v>
      </c>
      <c r="K67" s="895">
        <f>'Biomass Data Assumptions'!$D107</f>
        <v>503586.40090090089</v>
      </c>
      <c r="L67" s="895">
        <f>'Biomass Data Assumptions'!$E107</f>
        <v>505536.29729729728</v>
      </c>
      <c r="M67" s="896"/>
      <c r="N67" s="897">
        <f>'Biomass Data Assumptions'!$G107</f>
        <v>2.2522522522522522E-3</v>
      </c>
      <c r="O67" s="898">
        <f>'Biomass Data Assumptions'!$H107</f>
        <v>4.7092547092547092E-3</v>
      </c>
      <c r="P67" s="899">
        <f>'Biomass Data Assumptions'!$I107</f>
        <v>8.5995085995085995E-3</v>
      </c>
    </row>
    <row r="68" spans="2:16" x14ac:dyDescent="0.3">
      <c r="B68" s="863" t="s">
        <v>346</v>
      </c>
      <c r="C68" s="861">
        <f>'Biomass Data Assumptions'!$I23</f>
        <v>40040.060000000005</v>
      </c>
      <c r="D68" s="861">
        <f>C68*(1+'Biomass Data Assumptions'!G$108)*(1+'Biomass Data Assumptions'!C$82)</f>
        <v>40315.085656230578</v>
      </c>
      <c r="E68" s="861">
        <f>D68*(1+'Biomass Data Assumptions'!H$108)*(1+'Biomass Data Assumptions'!D$82)</f>
        <v>40868.520515776756</v>
      </c>
      <c r="F68" s="861">
        <f>E68*(1+'Biomass Data Assumptions'!I$108)*(1+'Biomass Data Assumptions'!E$82)</f>
        <v>41771.078527959347</v>
      </c>
      <c r="H68" s="893" t="s">
        <v>126</v>
      </c>
      <c r="I68" s="894">
        <f>'Biomass Data Assumptions'!$B108</f>
        <v>66083</v>
      </c>
      <c r="J68" s="895">
        <f>'Biomass Data Assumptions'!$C108</f>
        <v>66582.116314199389</v>
      </c>
      <c r="K68" s="895">
        <f>'Biomass Data Assumptions'!$D108</f>
        <v>67081.232628398793</v>
      </c>
      <c r="L68" s="895">
        <f>'Biomass Data Assumptions'!$E108</f>
        <v>67680.172205438066</v>
      </c>
      <c r="M68" s="896"/>
      <c r="N68" s="897">
        <f>'Biomass Data Assumptions'!$G108</f>
        <v>7.5528700906344415E-3</v>
      </c>
      <c r="O68" s="898">
        <f>'Biomass Data Assumptions'!$H108</f>
        <v>1.5105740181268883E-2</v>
      </c>
      <c r="P68" s="899">
        <f>'Biomass Data Assumptions'!$I108</f>
        <v>2.4169184290030211E-2</v>
      </c>
    </row>
    <row r="69" spans="2:16" x14ac:dyDescent="0.3">
      <c r="B69" s="863" t="s">
        <v>347</v>
      </c>
      <c r="C69" s="861">
        <f>'Biomass Data Assumptions'!$I24</f>
        <v>199563.87</v>
      </c>
      <c r="D69" s="861">
        <f>C69*(1+'Biomass Data Assumptions'!G$109)*(1+'Biomass Data Assumptions'!C$82)</f>
        <v>207018.00188583526</v>
      </c>
      <c r="E69" s="861">
        <f>D69*(1+'Biomass Data Assumptions'!H$109)*(1+'Biomass Data Assumptions'!D$82)</f>
        <v>225031.15078123633</v>
      </c>
      <c r="F69" s="861">
        <f>E69*(1+'Biomass Data Assumptions'!I$109)*(1+'Biomass Data Assumptions'!E$82)</f>
        <v>252922.66022285941</v>
      </c>
      <c r="H69" s="893" t="s">
        <v>347</v>
      </c>
      <c r="I69" s="894">
        <f>'Biomass Data Assumptions'!$B109</f>
        <v>323444</v>
      </c>
      <c r="J69" s="895">
        <f>'Biomass Data Assumptions'!$C109</f>
        <v>335753.28589108912</v>
      </c>
      <c r="K69" s="895">
        <f>'Biomass Data Assumptions'!$D109</f>
        <v>352065.59158415842</v>
      </c>
      <c r="L69" s="895">
        <f>'Biomass Data Assumptions'!$E109</f>
        <v>364274.80198019801</v>
      </c>
      <c r="M69" s="896"/>
      <c r="N69" s="897">
        <f>'Biomass Data Assumptions'!$G109</f>
        <v>3.8056930693069306E-2</v>
      </c>
      <c r="O69" s="898">
        <f>'Biomass Data Assumptions'!$H109</f>
        <v>8.8490099009900985E-2</v>
      </c>
      <c r="P69" s="899">
        <f>'Biomass Data Assumptions'!$I109</f>
        <v>0.12623762376237624</v>
      </c>
    </row>
    <row r="70" spans="2:16" x14ac:dyDescent="0.3">
      <c r="B70" s="863" t="s">
        <v>348</v>
      </c>
      <c r="C70" s="861">
        <f>'Biomass Data Assumptions'!$I25</f>
        <v>75304.95</v>
      </c>
      <c r="D70" s="861">
        <f>C70*(1+'Biomass Data Assumptions'!G$110)*(1+'Biomass Data Assumptions'!C$82)</f>
        <v>77490.557841998889</v>
      </c>
      <c r="E70" s="861">
        <f>D70*(1+'Biomass Data Assumptions'!H$110)*(1+'Biomass Data Assumptions'!D$82)</f>
        <v>82803.362348011098</v>
      </c>
      <c r="F70" s="861">
        <f>E70*(1+'Biomass Data Assumptions'!I$110)*(1+'Biomass Data Assumptions'!E$82)</f>
        <v>90057.753598964482</v>
      </c>
      <c r="H70" s="893" t="s">
        <v>348</v>
      </c>
      <c r="I70" s="894">
        <f>'Biomass Data Assumptions'!$B110</f>
        <v>149265</v>
      </c>
      <c r="J70" s="895">
        <f>'Biomass Data Assumptions'!$C110</f>
        <v>153701.54227212683</v>
      </c>
      <c r="K70" s="895">
        <f>'Biomass Data Assumptions'!$D110</f>
        <v>159715.52179656539</v>
      </c>
      <c r="L70" s="895">
        <f>'Biomass Data Assumptions'!$E110</f>
        <v>162673.21664464995</v>
      </c>
      <c r="M70" s="896"/>
      <c r="N70" s="897">
        <f>'Biomass Data Assumptions'!$G110</f>
        <v>2.9722589167767502E-2</v>
      </c>
      <c r="O70" s="898">
        <f>'Biomass Data Assumptions'!$H110</f>
        <v>7.0013210039630125E-2</v>
      </c>
      <c r="P70" s="899">
        <f>'Biomass Data Assumptions'!$I110</f>
        <v>8.982826948480846E-2</v>
      </c>
    </row>
    <row r="71" spans="2:16" x14ac:dyDescent="0.3">
      <c r="B71" s="863" t="s">
        <v>349</v>
      </c>
      <c r="C71" s="861">
        <f>'Biomass Data Assumptions'!$I26</f>
        <v>28563.049999999988</v>
      </c>
      <c r="D71" s="861">
        <f>C71*(1+'Biomass Data Assumptions'!G$111)*(1+'Biomass Data Assumptions'!C$82)</f>
        <v>28587.418108484642</v>
      </c>
      <c r="E71" s="861">
        <f>D71*(1+'Biomass Data Assumptions'!H$111)*(1+'Biomass Data Assumptions'!D$82)</f>
        <v>28674.447856964565</v>
      </c>
      <c r="F71" s="861">
        <f>E71*(1+'Biomass Data Assumptions'!I$111)*(1+'Biomass Data Assumptions'!E$82)</f>
        <v>28862.864311944995</v>
      </c>
      <c r="H71" s="893" t="s">
        <v>349</v>
      </c>
      <c r="I71" s="894">
        <f>'Biomass Data Assumptions'!$B111</f>
        <v>536499</v>
      </c>
      <c r="J71" s="895">
        <f>'Biomass Data Assumptions'!$C111</f>
        <v>537321.53583748557</v>
      </c>
      <c r="K71" s="895">
        <f>'Biomass Data Assumptions'!$D111</f>
        <v>538863.79053277115</v>
      </c>
      <c r="L71" s="895">
        <f>'Biomass Data Assumptions'!$E111</f>
        <v>541125.76408585662</v>
      </c>
      <c r="M71" s="896"/>
      <c r="N71" s="897">
        <f>'Biomass Data Assumptions'!$G111</f>
        <v>1.5331544653123803E-3</v>
      </c>
      <c r="O71" s="898">
        <f>'Biomass Data Assumptions'!$H111</f>
        <v>4.4078190877730929E-3</v>
      </c>
      <c r="P71" s="899">
        <f>'Biomass Data Assumptions'!$I111</f>
        <v>8.6239938673821383E-3</v>
      </c>
    </row>
    <row r="72" spans="2:16" ht="15" thickBot="1" x14ac:dyDescent="0.35">
      <c r="B72" s="877" t="s">
        <v>350</v>
      </c>
      <c r="C72" s="878">
        <f>'Biomass Data Assumptions'!$I27</f>
        <v>14937.149999999994</v>
      </c>
      <c r="D72" s="878">
        <f>C72*(1+'Biomass Data Assumptions'!G$112)*(1+'Biomass Data Assumptions'!C$82)</f>
        <v>15538.213949562472</v>
      </c>
      <c r="E72" s="878">
        <f>D72*(1+'Biomass Data Assumptions'!H$112)*(1+'Biomass Data Assumptions'!D$82)</f>
        <v>16844.33592380819</v>
      </c>
      <c r="F72" s="878">
        <f>E72*(1+'Biomass Data Assumptions'!I$112)*(1+'Biomass Data Assumptions'!E$82)</f>
        <v>18798.498096183153</v>
      </c>
      <c r="H72" s="893" t="s">
        <v>350</v>
      </c>
      <c r="I72" s="894">
        <f>'Biomass Data Assumptions'!$B112</f>
        <v>108692</v>
      </c>
      <c r="J72" s="895">
        <f>'Biomass Data Assumptions'!$C112</f>
        <v>113142.53685168336</v>
      </c>
      <c r="K72" s="895">
        <f>'Biomass Data Assumptions'!$D112</f>
        <v>117988.67697907188</v>
      </c>
      <c r="L72" s="895">
        <f>'Biomass Data Assumptions'!$E112</f>
        <v>121549.10646041857</v>
      </c>
      <c r="M72" s="896"/>
      <c r="N72" s="897">
        <f>'Biomass Data Assumptions'!$G112</f>
        <v>4.0946314831665151E-2</v>
      </c>
      <c r="O72" s="898">
        <f>'Biomass Data Assumptions'!$H112</f>
        <v>8.5532302092811652E-2</v>
      </c>
      <c r="P72" s="899">
        <f>'Biomass Data Assumptions'!$I112</f>
        <v>0.11828935395814377</v>
      </c>
    </row>
    <row r="73" spans="2:16" ht="15.6" thickTop="1" thickBot="1" x14ac:dyDescent="0.35">
      <c r="B73" s="879" t="s">
        <v>351</v>
      </c>
      <c r="C73" s="880">
        <f>SUM(C52:C72)</f>
        <v>4453930.55</v>
      </c>
      <c r="D73" s="880">
        <f t="shared" ref="D73:F73" si="2">SUM(D52:D72)</f>
        <v>4530878.5909307934</v>
      </c>
      <c r="E73" s="880">
        <f t="shared" si="2"/>
        <v>4720446.1286296686</v>
      </c>
      <c r="F73" s="880">
        <f t="shared" si="2"/>
        <v>5022608.9563289713</v>
      </c>
      <c r="H73" s="893" t="s">
        <v>351</v>
      </c>
      <c r="I73" s="900">
        <f>SUM(I52:I72)</f>
        <v>8791894</v>
      </c>
      <c r="J73" s="901">
        <f>SUM(J52:J72)</f>
        <v>8933846.6580148563</v>
      </c>
      <c r="K73" s="901">
        <f>SUM(K52:K72)</f>
        <v>9130611.5196101461</v>
      </c>
      <c r="L73" s="901">
        <f>SUM(L52:L72)</f>
        <v>9298820.9119583014</v>
      </c>
      <c r="M73" s="902"/>
      <c r="N73" s="903">
        <f t="shared" ref="N73" si="3">(J73-I73)/I73</f>
        <v>1.6145856400777384E-2</v>
      </c>
      <c r="O73" s="904">
        <f t="shared" ref="O73" si="4">(K73-I73)/I73</f>
        <v>3.8526115033933085E-2</v>
      </c>
      <c r="P73" s="905">
        <f t="shared" ref="P73" si="5">(L73-I73)/I73</f>
        <v>5.7658442192126229E-2</v>
      </c>
    </row>
    <row r="75" spans="2:16" x14ac:dyDescent="0.3">
      <c r="B75" s="876" t="s">
        <v>1364</v>
      </c>
      <c r="I75" s="881" t="s">
        <v>1365</v>
      </c>
    </row>
    <row r="76" spans="2:16" x14ac:dyDescent="0.3">
      <c r="D76" s="1220" t="s">
        <v>1366</v>
      </c>
      <c r="E76" s="1220"/>
      <c r="F76" s="1220"/>
      <c r="G76" s="1220"/>
      <c r="J76" s="1213" t="s">
        <v>1367</v>
      </c>
      <c r="K76" s="1213"/>
      <c r="L76" s="1213"/>
      <c r="M76" s="1213"/>
      <c r="N76" s="1213"/>
      <c r="O76" s="1213"/>
    </row>
    <row r="77" spans="2:16" x14ac:dyDescent="0.3">
      <c r="B77" s="885" t="s">
        <v>322</v>
      </c>
      <c r="C77" s="886" t="s">
        <v>1368</v>
      </c>
      <c r="D77" s="862" t="s">
        <v>1369</v>
      </c>
      <c r="E77" s="862" t="s">
        <v>216</v>
      </c>
      <c r="F77" s="862" t="s">
        <v>1347</v>
      </c>
      <c r="G77" s="862" t="s">
        <v>212</v>
      </c>
      <c r="I77" s="906" t="s">
        <v>322</v>
      </c>
      <c r="J77" s="886" t="s">
        <v>1346</v>
      </c>
      <c r="K77" s="885" t="s">
        <v>1370</v>
      </c>
      <c r="L77" s="885" t="s">
        <v>1371</v>
      </c>
      <c r="M77" s="885" t="s">
        <v>1372</v>
      </c>
      <c r="N77" s="885" t="s">
        <v>1373</v>
      </c>
      <c r="O77" s="885" t="s">
        <v>409</v>
      </c>
      <c r="P77" s="885" t="s">
        <v>1366</v>
      </c>
    </row>
    <row r="78" spans="2:16" x14ac:dyDescent="0.3">
      <c r="B78" s="860" t="s">
        <v>403</v>
      </c>
      <c r="C78" s="907">
        <v>555.70000000000005</v>
      </c>
      <c r="D78" s="907">
        <f t="shared" ref="D78:D99" si="6">J5/C78</f>
        <v>569.51782394646477</v>
      </c>
      <c r="E78" s="907">
        <f t="shared" ref="E78:E99" si="7">D5/C78</f>
        <v>213.0594895327215</v>
      </c>
      <c r="F78" s="907">
        <f t="shared" ref="F78:F99" si="8">E5/C78</f>
        <v>2.2219565651430631</v>
      </c>
      <c r="G78" s="907">
        <f t="shared" ref="G78:G99" si="9">SUM(F5:H5)/C78</f>
        <v>258.65911751376638</v>
      </c>
      <c r="I78" s="908" t="s">
        <v>403</v>
      </c>
      <c r="J78" s="861">
        <f t="shared" ref="J78:J98" si="10">C5</f>
        <v>2548.5675999999999</v>
      </c>
      <c r="K78" s="866">
        <f>Atlantic!$C$46</f>
        <v>116.16</v>
      </c>
      <c r="L78" s="866">
        <f>Atlantic!$C$22</f>
        <v>93145</v>
      </c>
      <c r="M78" s="871">
        <f>SUM(Atlantic!$C$15:'Atlantic'!$C$21)</f>
        <v>3681.3050000000003</v>
      </c>
      <c r="N78" s="866">
        <f>SUM(Atlantic!$C$52:'Atlantic'!$C$59)</f>
        <v>2093.3341300000002</v>
      </c>
      <c r="O78" s="866">
        <f>SUM(J78:N78)</f>
        <v>101584.36673000001</v>
      </c>
      <c r="P78" s="909">
        <f>O78/C78</f>
        <v>182.80433098794313</v>
      </c>
    </row>
    <row r="79" spans="2:16" x14ac:dyDescent="0.3">
      <c r="B79" s="863" t="s">
        <v>325</v>
      </c>
      <c r="C79" s="907">
        <v>233.01</v>
      </c>
      <c r="D79" s="907">
        <f t="shared" si="6"/>
        <v>2623.5243444609582</v>
      </c>
      <c r="E79" s="907">
        <f t="shared" si="7"/>
        <v>402.28787391099092</v>
      </c>
      <c r="F79" s="907">
        <f t="shared" si="8"/>
        <v>15.826225754259475</v>
      </c>
      <c r="G79" s="907">
        <f t="shared" si="9"/>
        <v>1925.192990017596</v>
      </c>
      <c r="I79" s="910" t="s">
        <v>325</v>
      </c>
      <c r="J79" s="861">
        <f t="shared" si="10"/>
        <v>4.2644000000000002</v>
      </c>
      <c r="K79" s="866">
        <f>Bergen!$C$46</f>
        <v>0</v>
      </c>
      <c r="L79" s="866">
        <f>Bergen!$C$22</f>
        <v>11655</v>
      </c>
      <c r="M79" s="866">
        <f>SUM(Bergen!$C$15:'Bergen'!$C$21)</f>
        <v>115.6425</v>
      </c>
      <c r="N79" s="866">
        <f>SUM(Bergen!$C$52:'Bergen'!$C$59)</f>
        <v>1230.6152025000001</v>
      </c>
      <c r="O79" s="866">
        <f t="shared" ref="O79:O98" si="11">SUM(J79:N79)</f>
        <v>13005.522102499999</v>
      </c>
      <c r="P79" s="909">
        <f t="shared" ref="P79:P98" si="12">O79/C79</f>
        <v>55.815295920775931</v>
      </c>
    </row>
    <row r="80" spans="2:16" x14ac:dyDescent="0.3">
      <c r="B80" s="863" t="s">
        <v>328</v>
      </c>
      <c r="C80" s="907">
        <v>798.58</v>
      </c>
      <c r="D80" s="907">
        <f t="shared" si="6"/>
        <v>693.90491756493975</v>
      </c>
      <c r="E80" s="907">
        <f t="shared" si="7"/>
        <v>268.9900698740264</v>
      </c>
      <c r="F80" s="907">
        <f t="shared" si="8"/>
        <v>26.3500895332966</v>
      </c>
      <c r="G80" s="907">
        <f t="shared" si="9"/>
        <v>250.17745632685518</v>
      </c>
      <c r="I80" s="910" t="s">
        <v>328</v>
      </c>
      <c r="J80" s="861">
        <f t="shared" si="10"/>
        <v>32089.921600000001</v>
      </c>
      <c r="K80" s="866">
        <f>Burlington!$C$46</f>
        <v>19214.400000000001</v>
      </c>
      <c r="L80" s="866">
        <f>Burlington!$C$22</f>
        <v>127223</v>
      </c>
      <c r="M80" s="866">
        <f>SUM(Burlington!$C$15:'Burlington'!$C$21)</f>
        <v>42359.055</v>
      </c>
      <c r="N80" s="866">
        <f>SUM(Burlington!$C$52:'Burlington'!$C$59)</f>
        <v>17498.847246249999</v>
      </c>
      <c r="O80" s="866">
        <f t="shared" si="11"/>
        <v>238385.22384624998</v>
      </c>
      <c r="P80" s="909">
        <f t="shared" si="12"/>
        <v>298.51138752066163</v>
      </c>
    </row>
    <row r="81" spans="2:16" x14ac:dyDescent="0.3">
      <c r="B81" s="863" t="s">
        <v>331</v>
      </c>
      <c r="C81" s="907">
        <v>221.26</v>
      </c>
      <c r="D81" s="907">
        <f t="shared" si="6"/>
        <v>993.6539581619196</v>
      </c>
      <c r="E81" s="907">
        <f t="shared" si="7"/>
        <v>331.150309590527</v>
      </c>
      <c r="F81" s="907">
        <f t="shared" si="8"/>
        <v>10.300131213278497</v>
      </c>
      <c r="G81" s="907">
        <f t="shared" si="9"/>
        <v>572.34632295218296</v>
      </c>
      <c r="I81" s="910" t="s">
        <v>331</v>
      </c>
      <c r="J81" s="861">
        <f t="shared" si="10"/>
        <v>2443.7939999999999</v>
      </c>
      <c r="K81" s="866">
        <f>Camden!$C$46</f>
        <v>186.24</v>
      </c>
      <c r="L81" s="866">
        <f>Camden!$C$22</f>
        <v>23349.5</v>
      </c>
      <c r="M81" s="866">
        <f>SUM(Camden!$C$15:'Camden'!$C$21)</f>
        <v>5515.4775</v>
      </c>
      <c r="N81" s="866">
        <f>SUM(Camden!$C$52:'Camden'!$C$59)</f>
        <v>1969.9002550000002</v>
      </c>
      <c r="O81" s="866">
        <f t="shared" si="11"/>
        <v>33464.911755000001</v>
      </c>
      <c r="P81" s="909">
        <f t="shared" si="12"/>
        <v>151.24700241796981</v>
      </c>
    </row>
    <row r="82" spans="2:16" x14ac:dyDescent="0.3">
      <c r="B82" s="863" t="s">
        <v>333</v>
      </c>
      <c r="C82" s="907">
        <v>251.43</v>
      </c>
      <c r="D82" s="907">
        <f t="shared" si="6"/>
        <v>796.12493539398736</v>
      </c>
      <c r="E82" s="907">
        <f t="shared" si="7"/>
        <v>358.61604953002166</v>
      </c>
      <c r="F82" s="907">
        <f t="shared" si="8"/>
        <v>1.5761123424014636</v>
      </c>
      <c r="G82" s="907">
        <f t="shared" si="9"/>
        <v>306.01365442150899</v>
      </c>
      <c r="I82" s="910" t="s">
        <v>333</v>
      </c>
      <c r="J82" s="861">
        <f t="shared" si="10"/>
        <v>772.41560000000004</v>
      </c>
      <c r="K82" s="866">
        <f>'Cape May'!$C$46</f>
        <v>0</v>
      </c>
      <c r="L82" s="866">
        <f>'Cape May'!$C$22</f>
        <v>26537.5</v>
      </c>
      <c r="M82" s="866">
        <f>SUM('Cape May'!$C$15:'Cape May'!$C$21)</f>
        <v>2495.915</v>
      </c>
      <c r="N82" s="866">
        <f>SUM('Cape May'!$C$52:'Cape May'!$C$59)</f>
        <v>1190.8689837499999</v>
      </c>
      <c r="O82" s="866">
        <f t="shared" si="11"/>
        <v>30996.69958375</v>
      </c>
      <c r="P82" s="909">
        <f t="shared" si="12"/>
        <v>123.28162742612257</v>
      </c>
    </row>
    <row r="83" spans="2:16" x14ac:dyDescent="0.3">
      <c r="B83" s="863" t="s">
        <v>335</v>
      </c>
      <c r="C83" s="907">
        <v>483.7</v>
      </c>
      <c r="D83" s="907">
        <f t="shared" si="6"/>
        <v>542.9462149619585</v>
      </c>
      <c r="E83" s="907">
        <f t="shared" si="7"/>
        <v>265.63445661911652</v>
      </c>
      <c r="F83" s="907">
        <f t="shared" si="8"/>
        <v>18.314578615877611</v>
      </c>
      <c r="G83" s="907">
        <f t="shared" si="9"/>
        <v>169.9955668521811</v>
      </c>
      <c r="I83" s="910" t="s">
        <v>335</v>
      </c>
      <c r="J83" s="861">
        <f t="shared" si="10"/>
        <v>27282.040399999998</v>
      </c>
      <c r="K83" s="866">
        <f>Cumberland!$C$46</f>
        <v>8219.52</v>
      </c>
      <c r="L83" s="866">
        <f>Cumberland!$C$22</f>
        <v>73755.5</v>
      </c>
      <c r="M83" s="866">
        <f>SUM(Cumberland!$C$15:'Cumberland'!$C$21)</f>
        <v>34688.699999999997</v>
      </c>
      <c r="N83" s="866">
        <f>SUM(Cumberland!$C$52:'Cumberland'!$C$59)</f>
        <v>5875.4246187500012</v>
      </c>
      <c r="O83" s="866">
        <f t="shared" si="11"/>
        <v>149821.18501874999</v>
      </c>
      <c r="P83" s="909">
        <f t="shared" si="12"/>
        <v>309.73989046671488</v>
      </c>
    </row>
    <row r="84" spans="2:16" x14ac:dyDescent="0.3">
      <c r="B84" s="863" t="s">
        <v>336</v>
      </c>
      <c r="C84" s="907">
        <v>126.21</v>
      </c>
      <c r="D84" s="907">
        <f t="shared" si="6"/>
        <v>1983.2727743191249</v>
      </c>
      <c r="E84" s="907">
        <f t="shared" si="7"/>
        <v>322.1566833056018</v>
      </c>
      <c r="F84" s="907">
        <f t="shared" si="8"/>
        <v>25.30770698241027</v>
      </c>
      <c r="G84" s="907">
        <f t="shared" si="9"/>
        <v>1328.6065686997861</v>
      </c>
      <c r="I84" s="910" t="s">
        <v>336</v>
      </c>
      <c r="J84" s="861">
        <f t="shared" si="10"/>
        <v>0</v>
      </c>
      <c r="K84" s="866">
        <f>Essex!$C$46</f>
        <v>0</v>
      </c>
      <c r="L84" s="866">
        <f>Essex!$C$22</f>
        <v>0</v>
      </c>
      <c r="M84" s="866">
        <f>SUM(Essex!$C$15:'Essex'!$C$21)</f>
        <v>8.5</v>
      </c>
      <c r="N84" s="866">
        <f>SUM(Essex!$C$52:'Essex'!$C$59)</f>
        <v>112.615275</v>
      </c>
      <c r="O84" s="866">
        <f t="shared" si="11"/>
        <v>121.115275</v>
      </c>
      <c r="P84" s="909">
        <f t="shared" si="12"/>
        <v>0.95963295301481655</v>
      </c>
    </row>
    <row r="85" spans="2:16" x14ac:dyDescent="0.3">
      <c r="B85" s="863" t="s">
        <v>337</v>
      </c>
      <c r="C85" s="907">
        <v>322.01</v>
      </c>
      <c r="D85" s="907">
        <f t="shared" si="6"/>
        <v>1048.6348454876388</v>
      </c>
      <c r="E85" s="907">
        <f t="shared" si="7"/>
        <v>254.05064024926762</v>
      </c>
      <c r="F85" s="907">
        <f t="shared" si="8"/>
        <v>29.209022651470459</v>
      </c>
      <c r="G85" s="907">
        <f t="shared" si="9"/>
        <v>299.97870900158387</v>
      </c>
      <c r="I85" s="910" t="s">
        <v>337</v>
      </c>
      <c r="J85" s="861">
        <f t="shared" si="10"/>
        <v>18272.194800000001</v>
      </c>
      <c r="K85" s="866">
        <f>Gloucester!$C$46</f>
        <v>8231.0400000000009</v>
      </c>
      <c r="L85" s="866">
        <f>Gloucester!$C$22</f>
        <v>14686.5</v>
      </c>
      <c r="M85" s="866">
        <f>SUM(Gloucester!$C$15:'Gloucester'!$C$21)</f>
        <v>28539.735000000004</v>
      </c>
      <c r="N85" s="866">
        <f>SUM(Gloucester!$C$52:'Gloucester'!$C$59)</f>
        <v>12576.898439999997</v>
      </c>
      <c r="O85" s="866">
        <f t="shared" si="11"/>
        <v>82306.368240000011</v>
      </c>
      <c r="P85" s="909">
        <f t="shared" si="12"/>
        <v>255.60190130741285</v>
      </c>
    </row>
    <row r="86" spans="2:16" x14ac:dyDescent="0.3">
      <c r="B86" s="863" t="s">
        <v>338</v>
      </c>
      <c r="C86" s="907">
        <v>46.19</v>
      </c>
      <c r="D86" s="907">
        <f t="shared" si="6"/>
        <v>6161.9687062559842</v>
      </c>
      <c r="E86" s="907">
        <f t="shared" si="7"/>
        <v>89.382478169878027</v>
      </c>
      <c r="F86" s="907">
        <f t="shared" si="8"/>
        <v>55.946270848668547</v>
      </c>
      <c r="G86" s="907">
        <f t="shared" si="9"/>
        <v>5899.8806756960385</v>
      </c>
      <c r="I86" s="910" t="s">
        <v>338</v>
      </c>
      <c r="J86" s="861">
        <f t="shared" si="10"/>
        <v>0</v>
      </c>
      <c r="K86" s="866">
        <f>Hudson!$C$46</f>
        <v>0</v>
      </c>
      <c r="L86" s="866">
        <f>Hudson!$C$22</f>
        <v>2017</v>
      </c>
      <c r="M86" s="866">
        <f>SUM(Hudson!$C$15:'Hudson'!$C$21)</f>
        <v>0</v>
      </c>
      <c r="N86" s="866">
        <f>SUM(Hudson!$C$52:'Hudson'!$C$59)</f>
        <v>0</v>
      </c>
      <c r="O86" s="866">
        <f t="shared" si="11"/>
        <v>2017</v>
      </c>
      <c r="P86" s="909">
        <f t="shared" si="12"/>
        <v>43.6674604892834</v>
      </c>
    </row>
    <row r="87" spans="2:16" x14ac:dyDescent="0.3">
      <c r="B87" s="863" t="s">
        <v>339</v>
      </c>
      <c r="C87" s="907">
        <v>427.82</v>
      </c>
      <c r="D87" s="907">
        <f t="shared" si="6"/>
        <v>552.73772872959842</v>
      </c>
      <c r="E87" s="907">
        <f t="shared" si="7"/>
        <v>315.4087291384227</v>
      </c>
      <c r="F87" s="907">
        <f t="shared" si="8"/>
        <v>11.014833138352577</v>
      </c>
      <c r="G87" s="907">
        <f t="shared" si="9"/>
        <v>98.151954731429115</v>
      </c>
      <c r="I87" s="910" t="s">
        <v>339</v>
      </c>
      <c r="J87" s="861">
        <f t="shared" si="10"/>
        <v>27925.648400000002</v>
      </c>
      <c r="K87" s="866">
        <f>Hunterdon!$C$46</f>
        <v>4189.4399999999996</v>
      </c>
      <c r="L87" s="866">
        <f>Hunterdon!$C$22</f>
        <v>51261</v>
      </c>
      <c r="M87" s="866">
        <f>SUM(Hunterdon!$C$15:'Hunterdon'!$C$21)</f>
        <v>78271.252500000002</v>
      </c>
      <c r="N87" s="866">
        <f>SUM(Hunterdon!$C$52:'Hunterdon'!$C$59)</f>
        <v>24732.590256250005</v>
      </c>
      <c r="O87" s="866">
        <f t="shared" si="11"/>
        <v>186379.93115625001</v>
      </c>
      <c r="P87" s="909">
        <f t="shared" si="12"/>
        <v>435.65034630510496</v>
      </c>
    </row>
    <row r="88" spans="2:16" x14ac:dyDescent="0.3">
      <c r="B88" s="863" t="s">
        <v>340</v>
      </c>
      <c r="C88" s="907">
        <v>224.56</v>
      </c>
      <c r="D88" s="907">
        <f t="shared" si="6"/>
        <v>1474.3056958372072</v>
      </c>
      <c r="E88" s="907">
        <f t="shared" si="7"/>
        <v>533.08083214582598</v>
      </c>
      <c r="F88" s="907">
        <f t="shared" si="8"/>
        <v>23.758396821562169</v>
      </c>
      <c r="G88" s="907">
        <f t="shared" si="9"/>
        <v>779.50295298717504</v>
      </c>
      <c r="I88" s="910" t="s">
        <v>340</v>
      </c>
      <c r="J88" s="861">
        <f t="shared" si="10"/>
        <v>8511.2288000000008</v>
      </c>
      <c r="K88" s="866">
        <f>Mercer!$C$46</f>
        <v>3841.92</v>
      </c>
      <c r="L88" s="866">
        <f>Mercer!$C$22</f>
        <v>21617</v>
      </c>
      <c r="M88" s="866">
        <f>SUM(Mercer!$C$15:'Mercer'!$C$21)</f>
        <v>12447.4</v>
      </c>
      <c r="N88" s="866">
        <f>SUM(Mercer!$C$52:'Mercer'!$C$59)</f>
        <v>3974.7841174999999</v>
      </c>
      <c r="O88" s="866">
        <f t="shared" si="11"/>
        <v>50392.332917500004</v>
      </c>
      <c r="P88" s="909">
        <f t="shared" si="12"/>
        <v>224.40476005299254</v>
      </c>
    </row>
    <row r="89" spans="2:16" x14ac:dyDescent="0.3">
      <c r="B89" s="863" t="s">
        <v>341</v>
      </c>
      <c r="C89" s="907">
        <v>308.91000000000003</v>
      </c>
      <c r="D89" s="907">
        <f t="shared" si="6"/>
        <v>1934.4232756656177</v>
      </c>
      <c r="E89" s="907">
        <f t="shared" si="7"/>
        <v>237.57231879835544</v>
      </c>
      <c r="F89" s="907">
        <f t="shared" si="8"/>
        <v>21.980913393868764</v>
      </c>
      <c r="G89" s="907">
        <f t="shared" si="9"/>
        <v>1357.9759511637692</v>
      </c>
      <c r="I89" s="910" t="s">
        <v>341</v>
      </c>
      <c r="J89" s="861">
        <f t="shared" si="10"/>
        <v>9512.9772000000012</v>
      </c>
      <c r="K89" s="866">
        <f>Middlesex!$C$46</f>
        <v>3490.56</v>
      </c>
      <c r="L89" s="866">
        <f>Middlesex!$C$22</f>
        <v>25339</v>
      </c>
      <c r="M89" s="866">
        <f>SUM(Middlesex!$C$15:'Middlesex'!$C$21)</f>
        <v>9635.73</v>
      </c>
      <c r="N89" s="866">
        <f>SUM(Middlesex!$C$52:'Middlesex'!$C$59)</f>
        <v>2347.84598375</v>
      </c>
      <c r="O89" s="866">
        <f t="shared" si="11"/>
        <v>50326.11318375</v>
      </c>
      <c r="P89" s="909">
        <f t="shared" si="12"/>
        <v>162.91513121540254</v>
      </c>
    </row>
    <row r="90" spans="2:16" x14ac:dyDescent="0.3">
      <c r="B90" s="863" t="s">
        <v>342</v>
      </c>
      <c r="C90" s="907">
        <v>468.79</v>
      </c>
      <c r="D90" s="907">
        <f t="shared" si="6"/>
        <v>1090.6280364357131</v>
      </c>
      <c r="E90" s="907">
        <f t="shared" si="7"/>
        <v>267.2478650710695</v>
      </c>
      <c r="F90" s="907">
        <f t="shared" si="8"/>
        <v>15.975779592141471</v>
      </c>
      <c r="G90" s="907">
        <f t="shared" si="9"/>
        <v>678.0990738309265</v>
      </c>
      <c r="I90" s="910" t="s">
        <v>342</v>
      </c>
      <c r="J90" s="861">
        <f t="shared" si="10"/>
        <v>9428.0999999999985</v>
      </c>
      <c r="K90" s="866">
        <f>Monmouth!$C$46</f>
        <v>4920.96</v>
      </c>
      <c r="L90" s="866">
        <f>Monmouth!$C$22</f>
        <v>39485.5</v>
      </c>
      <c r="M90" s="866">
        <f>SUM(Monmouth!$C$15:'Monmouth'!$C$21)</f>
        <v>22662.215</v>
      </c>
      <c r="N90" s="866">
        <f>SUM(Monmouth!$C$52:'Monmouth'!$C$59)</f>
        <v>28746.151243749999</v>
      </c>
      <c r="O90" s="866">
        <f t="shared" si="11"/>
        <v>105242.92624375</v>
      </c>
      <c r="P90" s="909">
        <f t="shared" si="12"/>
        <v>224.49908539804602</v>
      </c>
    </row>
    <row r="91" spans="2:16" x14ac:dyDescent="0.3">
      <c r="B91" s="863" t="s">
        <v>343</v>
      </c>
      <c r="C91" s="907">
        <v>460.18</v>
      </c>
      <c r="D91" s="907">
        <f t="shared" si="6"/>
        <v>828.39092367396722</v>
      </c>
      <c r="E91" s="907">
        <f t="shared" si="7"/>
        <v>246.10185326031839</v>
      </c>
      <c r="F91" s="907">
        <f t="shared" si="8"/>
        <v>4.8653472402103537</v>
      </c>
      <c r="G91" s="907">
        <f t="shared" si="9"/>
        <v>483.28520672258685</v>
      </c>
      <c r="I91" s="910" t="s">
        <v>343</v>
      </c>
      <c r="J91" s="861">
        <f t="shared" si="10"/>
        <v>3296.5652</v>
      </c>
      <c r="K91" s="866">
        <f>Morris!$C$46</f>
        <v>233.28</v>
      </c>
      <c r="L91" s="866">
        <f>Morris!$C$22</f>
        <v>66066</v>
      </c>
      <c r="M91" s="866">
        <f>SUM(Morris!$C$15:'Morris'!$C$21)</f>
        <v>11306.432499999999</v>
      </c>
      <c r="N91" s="866">
        <f>SUM(Morris!$C$52:'Morris'!$C$59)</f>
        <v>6669.8908275000003</v>
      </c>
      <c r="O91" s="866">
        <f t="shared" si="11"/>
        <v>87572.168527499991</v>
      </c>
      <c r="P91" s="909">
        <f t="shared" si="12"/>
        <v>190.29981426289712</v>
      </c>
    </row>
    <row r="92" spans="2:16" x14ac:dyDescent="0.3">
      <c r="B92" s="863" t="s">
        <v>344</v>
      </c>
      <c r="C92" s="907">
        <v>628.78</v>
      </c>
      <c r="D92" s="907">
        <f t="shared" si="6"/>
        <v>841.00734583818132</v>
      </c>
      <c r="E92" s="907">
        <f t="shared" si="7"/>
        <v>251.39691810596182</v>
      </c>
      <c r="F92" s="907">
        <f t="shared" si="8"/>
        <v>4.1496836727472255</v>
      </c>
      <c r="G92" s="907">
        <f t="shared" si="9"/>
        <v>509.47724692770129</v>
      </c>
      <c r="I92" s="910" t="s">
        <v>344</v>
      </c>
      <c r="J92" s="861">
        <f t="shared" si="10"/>
        <v>1006.876</v>
      </c>
      <c r="K92" s="866">
        <f>Ocean!$C$46</f>
        <v>260.16000000000003</v>
      </c>
      <c r="L92" s="866">
        <f>Ocean!$C$22</f>
        <v>111710</v>
      </c>
      <c r="M92" s="866">
        <f>SUM(Ocean!$C$15:'Ocean'!$C$21)</f>
        <v>3617.2275</v>
      </c>
      <c r="N92" s="866">
        <f>SUM(Ocean!$C$52:'Ocean'!$C$59)</f>
        <v>4801.7610587500003</v>
      </c>
      <c r="O92" s="866">
        <f t="shared" si="11"/>
        <v>121396.02455874998</v>
      </c>
      <c r="P92" s="909">
        <f t="shared" si="12"/>
        <v>193.06597626952191</v>
      </c>
    </row>
    <row r="93" spans="2:16" x14ac:dyDescent="0.3">
      <c r="B93" s="863" t="s">
        <v>345</v>
      </c>
      <c r="C93" s="907">
        <v>184.59</v>
      </c>
      <c r="D93" s="907">
        <f t="shared" si="6"/>
        <v>1835.358703668519</v>
      </c>
      <c r="E93" s="907">
        <f t="shared" si="7"/>
        <v>314.04242284703031</v>
      </c>
      <c r="F93" s="907">
        <f t="shared" si="8"/>
        <v>11.063004661682649</v>
      </c>
      <c r="G93" s="907">
        <f t="shared" si="9"/>
        <v>1486.9180909908448</v>
      </c>
      <c r="I93" s="910" t="s">
        <v>345</v>
      </c>
      <c r="J93" s="861">
        <f t="shared" si="10"/>
        <v>3.5</v>
      </c>
      <c r="K93" s="866">
        <f>Passaic!$C$46</f>
        <v>0</v>
      </c>
      <c r="L93" s="866">
        <f>Passaic!$C$22</f>
        <v>35198</v>
      </c>
      <c r="M93" s="866">
        <f>SUM(Passaic!$C$15:'Passaic'!$C$21)</f>
        <v>88.272499999999994</v>
      </c>
      <c r="N93" s="866">
        <f>SUM(Passaic!$C$52:'Passaic'!$C$59)</f>
        <v>1595.2391612499998</v>
      </c>
      <c r="O93" s="866">
        <f t="shared" si="11"/>
        <v>36885.011661249999</v>
      </c>
      <c r="P93" s="909">
        <f t="shared" si="12"/>
        <v>199.82128859228558</v>
      </c>
    </row>
    <row r="94" spans="2:16" x14ac:dyDescent="0.3">
      <c r="B94" s="863" t="s">
        <v>346</v>
      </c>
      <c r="C94" s="907">
        <v>331.9</v>
      </c>
      <c r="D94" s="907">
        <f t="shared" si="6"/>
        <v>789.87132047504792</v>
      </c>
      <c r="E94" s="907">
        <f t="shared" si="7"/>
        <v>357.11175805965661</v>
      </c>
      <c r="F94" s="907">
        <f t="shared" si="8"/>
        <v>62.035428330069308</v>
      </c>
      <c r="G94" s="907">
        <f t="shared" si="9"/>
        <v>73.17504648870144</v>
      </c>
      <c r="I94" s="910" t="s">
        <v>346</v>
      </c>
      <c r="J94" s="861">
        <f t="shared" si="10"/>
        <v>63270.227200000001</v>
      </c>
      <c r="K94" s="866">
        <f>Salem!$C$46</f>
        <v>20320.32</v>
      </c>
      <c r="L94" s="866">
        <f>Salem!$C$22</f>
        <v>32043</v>
      </c>
      <c r="M94" s="866">
        <f>SUM(Salem!$C$15:'Salem'!$C$21)</f>
        <v>82160.227500000008</v>
      </c>
      <c r="N94" s="866">
        <f>SUM(Salem!$C$52:'Salem'!$C$59)</f>
        <v>23005.447851249999</v>
      </c>
      <c r="O94" s="866">
        <f t="shared" si="11"/>
        <v>220799.22255125002</v>
      </c>
      <c r="P94" s="909">
        <f t="shared" si="12"/>
        <v>665.25827825022611</v>
      </c>
    </row>
    <row r="95" spans="2:16" x14ac:dyDescent="0.3">
      <c r="B95" s="863" t="s">
        <v>347</v>
      </c>
      <c r="C95" s="907">
        <v>301.81</v>
      </c>
      <c r="D95" s="907">
        <f t="shared" si="6"/>
        <v>759.52897024696563</v>
      </c>
      <c r="E95" s="907">
        <f t="shared" si="7"/>
        <v>168.97794970345581</v>
      </c>
      <c r="F95" s="907">
        <f t="shared" si="8"/>
        <v>7.9860565156886789</v>
      </c>
      <c r="G95" s="907">
        <f t="shared" si="9"/>
        <v>499.52469835061788</v>
      </c>
      <c r="I95" s="910" t="s">
        <v>347</v>
      </c>
      <c r="J95" s="861">
        <f t="shared" si="10"/>
        <v>8088.4135999999999</v>
      </c>
      <c r="K95" s="866">
        <f>Somerset!$C$46</f>
        <v>1092.48</v>
      </c>
      <c r="L95" s="866">
        <f>Somerset!$C$22</f>
        <v>17952</v>
      </c>
      <c r="M95" s="866">
        <f>SUM(Somerset!$C$15:'Somerset'!$C$21)</f>
        <v>25352.369999999995</v>
      </c>
      <c r="N95" s="866">
        <f>SUM(Somerset!$C$52:'Somerset'!$C$59)</f>
        <v>8685.6514162500007</v>
      </c>
      <c r="O95" s="866">
        <f t="shared" si="11"/>
        <v>61170.915016249994</v>
      </c>
      <c r="P95" s="909">
        <f t="shared" si="12"/>
        <v>202.68021277045159</v>
      </c>
    </row>
    <row r="96" spans="2:16" x14ac:dyDescent="0.3">
      <c r="B96" s="863" t="s">
        <v>348</v>
      </c>
      <c r="C96" s="907">
        <v>519.01</v>
      </c>
      <c r="D96" s="907">
        <f t="shared" si="6"/>
        <v>453.31969552870629</v>
      </c>
      <c r="E96" s="907">
        <f t="shared" si="7"/>
        <v>291.09420980970179</v>
      </c>
      <c r="F96" s="907">
        <f t="shared" si="8"/>
        <v>1.23832474566964</v>
      </c>
      <c r="G96" s="907">
        <f t="shared" si="9"/>
        <v>88.686851779349141</v>
      </c>
      <c r="I96" s="910" t="s">
        <v>348</v>
      </c>
      <c r="J96" s="861">
        <f t="shared" si="10"/>
        <v>9413.5999999999985</v>
      </c>
      <c r="K96" s="866">
        <f>Sussex!$C$46</f>
        <v>34.56</v>
      </c>
      <c r="L96" s="866">
        <f>Sussex!$C$22</f>
        <v>89546</v>
      </c>
      <c r="M96" s="866">
        <f>SUM(Sussex!$C$15:'Sussex'!$C$21)</f>
        <v>57089.287499999991</v>
      </c>
      <c r="N96" s="866">
        <f>SUM(Sussex!$C$52:'Sussex'!$C$59)</f>
        <v>27200.615318750002</v>
      </c>
      <c r="O96" s="866">
        <f t="shared" si="11"/>
        <v>183284.06281875001</v>
      </c>
      <c r="P96" s="909">
        <f t="shared" si="12"/>
        <v>353.1416790018497</v>
      </c>
    </row>
    <row r="97" spans="2:32" x14ac:dyDescent="0.3">
      <c r="B97" s="863" t="s">
        <v>349</v>
      </c>
      <c r="C97" s="907">
        <v>102.86</v>
      </c>
      <c r="D97" s="907">
        <f t="shared" si="6"/>
        <v>1248.423882039762</v>
      </c>
      <c r="E97" s="907">
        <f t="shared" si="7"/>
        <v>350.20907058137271</v>
      </c>
      <c r="F97" s="907">
        <f t="shared" si="8"/>
        <v>21.250544922710482</v>
      </c>
      <c r="G97" s="907">
        <f t="shared" si="9"/>
        <v>746.05303264631527</v>
      </c>
      <c r="I97" s="910" t="s">
        <v>349</v>
      </c>
      <c r="J97" s="861">
        <f t="shared" si="10"/>
        <v>0</v>
      </c>
      <c r="K97" s="866">
        <f>Union!$C$46</f>
        <v>0</v>
      </c>
      <c r="L97" s="866">
        <f>Union!$C$22</f>
        <v>0</v>
      </c>
      <c r="M97" s="866">
        <f>SUM(Union!$C$15:'Union'!$C$21)</f>
        <v>4.6749999999999998</v>
      </c>
      <c r="N97" s="866">
        <f>SUM(Union!$C$52:'Union'!$C$59)</f>
        <v>6.8930249999999997</v>
      </c>
      <c r="O97" s="866">
        <f t="shared" si="11"/>
        <v>11.568024999999999</v>
      </c>
      <c r="P97" s="909">
        <f t="shared" si="12"/>
        <v>0.1124637857281742</v>
      </c>
    </row>
    <row r="98" spans="2:32" ht="15" thickBot="1" x14ac:dyDescent="0.35">
      <c r="B98" s="877" t="s">
        <v>350</v>
      </c>
      <c r="C98" s="911">
        <v>356.92</v>
      </c>
      <c r="D98" s="911">
        <f t="shared" si="6"/>
        <v>703.27041239846051</v>
      </c>
      <c r="E98" s="911">
        <f t="shared" si="7"/>
        <v>391.56440985841817</v>
      </c>
      <c r="F98" s="911">
        <f t="shared" si="8"/>
        <v>13.871451252381483</v>
      </c>
      <c r="G98" s="911">
        <f t="shared" si="9"/>
        <v>49.035341516306168</v>
      </c>
      <c r="I98" s="910" t="s">
        <v>350</v>
      </c>
      <c r="J98" s="861">
        <f t="shared" si="10"/>
        <v>51379.524400000002</v>
      </c>
      <c r="K98" s="866">
        <f>Warren!$C$46</f>
        <v>4508.16</v>
      </c>
      <c r="L98" s="866">
        <f>Warren!$C$22</f>
        <v>53839.5</v>
      </c>
      <c r="M98" s="866">
        <f>SUM(Warren!$C$15:'Warren'!$C$21)</f>
        <v>73442.3125</v>
      </c>
      <c r="N98" s="866">
        <f>SUM(Warren!$C$52:'Warren'!$C$59)</f>
        <v>33307.764932500002</v>
      </c>
      <c r="O98" s="866">
        <f t="shared" si="11"/>
        <v>216477.26183249999</v>
      </c>
      <c r="P98" s="909">
        <f t="shared" si="12"/>
        <v>606.51479836517979</v>
      </c>
    </row>
    <row r="99" spans="2:32" ht="15" thickTop="1" x14ac:dyDescent="0.3">
      <c r="B99" s="879" t="s">
        <v>351</v>
      </c>
      <c r="C99" s="912">
        <f>SUM(C78:C98)</f>
        <v>7354.22</v>
      </c>
      <c r="D99" s="912">
        <f t="shared" si="6"/>
        <v>961.14300259889683</v>
      </c>
      <c r="E99" s="912">
        <f t="shared" si="7"/>
        <v>288.87642616529467</v>
      </c>
      <c r="F99" s="912">
        <f t="shared" si="8"/>
        <v>15.593710023564702</v>
      </c>
      <c r="G99" s="912">
        <f t="shared" si="9"/>
        <v>503.33875987097201</v>
      </c>
      <c r="I99" s="913" t="s">
        <v>1444</v>
      </c>
      <c r="J99" s="914">
        <f t="shared" ref="J99:N99" si="13">SUM(J78:J98)</f>
        <v>275249.85920000001</v>
      </c>
      <c r="K99" s="914">
        <f t="shared" si="13"/>
        <v>78859.199999999997</v>
      </c>
      <c r="L99" s="914">
        <f t="shared" si="13"/>
        <v>916426</v>
      </c>
      <c r="M99" s="914">
        <f t="shared" si="13"/>
        <v>493481.73249999998</v>
      </c>
      <c r="N99" s="914">
        <f t="shared" si="13"/>
        <v>207623.13934374999</v>
      </c>
      <c r="O99" s="914">
        <f>SUM(O78:O98)</f>
        <v>1971639.9310437497</v>
      </c>
      <c r="P99" s="955" t="s">
        <v>1443</v>
      </c>
    </row>
    <row r="104" spans="2:32" ht="15" customHeight="1" x14ac:dyDescent="0.3">
      <c r="C104" s="1213" t="s">
        <v>1528</v>
      </c>
      <c r="D104" s="1213"/>
      <c r="E104" s="1213"/>
      <c r="F104" s="1213"/>
      <c r="G104" s="1213" t="s">
        <v>1525</v>
      </c>
      <c r="H104" s="1213"/>
      <c r="I104" s="1213"/>
      <c r="J104" s="1213"/>
      <c r="M104" s="1213" t="s">
        <v>1524</v>
      </c>
      <c r="N104" s="1213"/>
      <c r="O104" s="1213"/>
      <c r="P104" s="1213"/>
      <c r="Q104" s="1213" t="s">
        <v>174</v>
      </c>
      <c r="R104" s="1213"/>
      <c r="S104" s="1213"/>
      <c r="T104" s="1213"/>
      <c r="W104" s="1213" t="s">
        <v>174</v>
      </c>
      <c r="X104" s="1213"/>
      <c r="Y104" s="1213"/>
      <c r="Z104" s="1213"/>
      <c r="AC104" s="857" t="s">
        <v>1524</v>
      </c>
    </row>
    <row r="105" spans="2:32" x14ac:dyDescent="0.3">
      <c r="B105" s="885" t="s">
        <v>322</v>
      </c>
      <c r="C105" s="994">
        <v>2010</v>
      </c>
      <c r="D105" s="994">
        <v>2015</v>
      </c>
      <c r="E105" s="994">
        <v>2020</v>
      </c>
      <c r="F105" s="994">
        <v>2025</v>
      </c>
      <c r="G105" s="994">
        <v>2010</v>
      </c>
      <c r="H105" s="994">
        <v>2015</v>
      </c>
      <c r="I105" s="994">
        <v>2020</v>
      </c>
      <c r="J105" s="994">
        <v>2025</v>
      </c>
      <c r="L105" s="885" t="s">
        <v>322</v>
      </c>
      <c r="M105" s="994">
        <v>2010</v>
      </c>
      <c r="N105" s="994">
        <v>2015</v>
      </c>
      <c r="O105" s="994">
        <v>2020</v>
      </c>
      <c r="P105" s="994">
        <v>2025</v>
      </c>
      <c r="Q105" s="994">
        <v>2010</v>
      </c>
      <c r="R105" s="994">
        <v>2015</v>
      </c>
      <c r="S105" s="994">
        <v>2020</v>
      </c>
      <c r="T105" s="994">
        <v>2025</v>
      </c>
      <c r="V105" s="885" t="s">
        <v>322</v>
      </c>
      <c r="W105" s="994">
        <v>2010</v>
      </c>
      <c r="X105" s="994">
        <v>2015</v>
      </c>
      <c r="Y105" s="994">
        <v>2020</v>
      </c>
      <c r="Z105" s="994">
        <v>2025</v>
      </c>
      <c r="AB105" s="857" t="s">
        <v>322</v>
      </c>
      <c r="AC105" s="857">
        <v>2010</v>
      </c>
      <c r="AD105" s="857">
        <v>2015</v>
      </c>
      <c r="AE105" s="857">
        <v>2020</v>
      </c>
      <c r="AF105" s="857">
        <v>2025</v>
      </c>
    </row>
    <row r="106" spans="2:32" x14ac:dyDescent="0.3">
      <c r="B106" s="860" t="s">
        <v>403</v>
      </c>
      <c r="C106" s="1002">
        <f>Atlantic!M69</f>
        <v>0</v>
      </c>
      <c r="D106" s="1002">
        <f>Atlantic!N69</f>
        <v>0</v>
      </c>
      <c r="E106" s="1002">
        <f>Atlantic!O69</f>
        <v>0</v>
      </c>
      <c r="F106" s="1002">
        <f>Atlantic!P69</f>
        <v>0</v>
      </c>
      <c r="G106" s="1004">
        <f>C106/1.11266</f>
        <v>0</v>
      </c>
      <c r="H106" s="1004">
        <f t="shared" ref="H106:H126" si="14">D106/1.11266</f>
        <v>0</v>
      </c>
      <c r="I106" s="1004">
        <f t="shared" ref="I106:I126" si="15">E106/1.11266</f>
        <v>0</v>
      </c>
      <c r="J106" s="1004">
        <f t="shared" ref="J106:J126" si="16">F106/1.11266</f>
        <v>0</v>
      </c>
      <c r="L106" s="860" t="s">
        <v>403</v>
      </c>
      <c r="M106" s="1002">
        <v>182420.52564796509</v>
      </c>
      <c r="N106" s="1002">
        <v>188476.08803975405</v>
      </c>
      <c r="O106" s="1002">
        <v>194955.41580878838</v>
      </c>
      <c r="P106" s="1002">
        <v>202230.60532760381</v>
      </c>
      <c r="Q106" s="1004">
        <f>M106/8760/0.85</f>
        <v>24.499130492608796</v>
      </c>
      <c r="R106" s="1004">
        <f t="shared" ref="R106:R126" si="17">N106/8760/0.85</f>
        <v>25.312394311006454</v>
      </c>
      <c r="S106" s="1004">
        <f t="shared" ref="S106:S126" si="18">O106/8760/0.85</f>
        <v>26.182569944774158</v>
      </c>
      <c r="T106" s="1004">
        <f t="shared" ref="T106:T126" si="19">P106/8760/0.85</f>
        <v>27.159630046683294</v>
      </c>
      <c r="V106" s="860" t="s">
        <v>403</v>
      </c>
      <c r="W106" s="1006">
        <v>33.172238429429456</v>
      </c>
      <c r="X106" s="1006">
        <v>34.184858468451637</v>
      </c>
      <c r="Y106" s="1006">
        <v>35.344545129849301</v>
      </c>
      <c r="Z106" s="1006">
        <v>36.643043239840651</v>
      </c>
      <c r="AB106" s="857" t="s">
        <v>403</v>
      </c>
      <c r="AC106" s="857">
        <v>182420.52564796509</v>
      </c>
      <c r="AD106" s="857">
        <v>188476.08803975405</v>
      </c>
      <c r="AE106" s="857">
        <v>194955.41580878838</v>
      </c>
      <c r="AF106" s="857">
        <v>202230.60532760381</v>
      </c>
    </row>
    <row r="107" spans="2:32" x14ac:dyDescent="0.3">
      <c r="B107" s="863" t="s">
        <v>325</v>
      </c>
      <c r="C107" s="1002">
        <f>Bergen!M69</f>
        <v>0</v>
      </c>
      <c r="D107" s="1002">
        <f>Bergen!N69</f>
        <v>0</v>
      </c>
      <c r="E107" s="1002">
        <f>Bergen!O69</f>
        <v>0</v>
      </c>
      <c r="F107" s="1002">
        <f>Bergen!P69</f>
        <v>0</v>
      </c>
      <c r="G107" s="1004">
        <f t="shared" ref="G107:G126" si="20">C107/1.11266</f>
        <v>0</v>
      </c>
      <c r="H107" s="1004">
        <f t="shared" si="14"/>
        <v>0</v>
      </c>
      <c r="I107" s="1004">
        <f t="shared" si="15"/>
        <v>0</v>
      </c>
      <c r="J107" s="1004">
        <f t="shared" si="16"/>
        <v>0</v>
      </c>
      <c r="L107" s="863" t="s">
        <v>325</v>
      </c>
      <c r="M107" s="1002">
        <v>341956.93646028725</v>
      </c>
      <c r="N107" s="1002">
        <v>348512.88539609319</v>
      </c>
      <c r="O107" s="1002">
        <v>355801.2960312622</v>
      </c>
      <c r="P107" s="1002">
        <v>363435.51085510582</v>
      </c>
      <c r="Q107" s="1004">
        <f t="shared" ref="Q107:Q126" si="21">M107/8760/0.85</f>
        <v>45.924917601435304</v>
      </c>
      <c r="R107" s="1004">
        <f t="shared" si="17"/>
        <v>46.805383480538971</v>
      </c>
      <c r="S107" s="1004">
        <f t="shared" si="18"/>
        <v>47.784219182280715</v>
      </c>
      <c r="T107" s="1004">
        <f t="shared" si="19"/>
        <v>48.809496488732982</v>
      </c>
      <c r="V107" s="863" t="s">
        <v>325</v>
      </c>
      <c r="W107" s="1006">
        <v>61.094119561490878</v>
      </c>
      <c r="X107" s="1006">
        <v>62.071008903222626</v>
      </c>
      <c r="Y107" s="1006">
        <v>63.173113295073207</v>
      </c>
      <c r="Z107" s="1006">
        <v>64.326087166509637</v>
      </c>
      <c r="AB107" s="857" t="s">
        <v>325</v>
      </c>
      <c r="AC107" s="857">
        <v>341956.93646028725</v>
      </c>
      <c r="AD107" s="857">
        <v>348512.88539609319</v>
      </c>
      <c r="AE107" s="857">
        <v>355801.2960312622</v>
      </c>
      <c r="AF107" s="857">
        <v>363435.51085510582</v>
      </c>
    </row>
    <row r="108" spans="2:32" x14ac:dyDescent="0.3">
      <c r="B108" s="863" t="s">
        <v>328</v>
      </c>
      <c r="C108" s="1002">
        <f>Burlington!M69</f>
        <v>0</v>
      </c>
      <c r="D108" s="1002">
        <f>Burlington!N69</f>
        <v>0</v>
      </c>
      <c r="E108" s="1002">
        <f>Burlington!O69</f>
        <v>0</v>
      </c>
      <c r="F108" s="1002">
        <f>Burlington!P69</f>
        <v>0</v>
      </c>
      <c r="G108" s="1004">
        <f t="shared" si="20"/>
        <v>0</v>
      </c>
      <c r="H108" s="1004">
        <f t="shared" si="14"/>
        <v>0</v>
      </c>
      <c r="I108" s="1004">
        <f t="shared" si="15"/>
        <v>0</v>
      </c>
      <c r="J108" s="1004">
        <f t="shared" si="16"/>
        <v>0</v>
      </c>
      <c r="L108" s="863" t="s">
        <v>328</v>
      </c>
      <c r="M108" s="1002">
        <v>268065.8434714707</v>
      </c>
      <c r="N108" s="1002">
        <v>274800.44108015904</v>
      </c>
      <c r="O108" s="1002">
        <v>283002.05539259117</v>
      </c>
      <c r="P108" s="1002">
        <v>289693.14940444514</v>
      </c>
      <c r="Q108" s="1004">
        <f t="shared" si="21"/>
        <v>36.001321981126871</v>
      </c>
      <c r="R108" s="1004">
        <f t="shared" si="17"/>
        <v>36.905780429782311</v>
      </c>
      <c r="S108" s="1004">
        <f t="shared" si="18"/>
        <v>38.007259655196236</v>
      </c>
      <c r="T108" s="1004">
        <f t="shared" si="19"/>
        <v>38.905875557943212</v>
      </c>
      <c r="V108" s="863" t="s">
        <v>328</v>
      </c>
      <c r="W108" s="1006">
        <v>51.777238771182503</v>
      </c>
      <c r="X108" s="1006">
        <v>52.992242317937787</v>
      </c>
      <c r="Y108" s="1006">
        <v>54.626616791207198</v>
      </c>
      <c r="Z108" s="1006">
        <v>55.939899451945919</v>
      </c>
      <c r="AB108" s="857" t="s">
        <v>328</v>
      </c>
      <c r="AC108" s="857">
        <v>268065.8434714707</v>
      </c>
      <c r="AD108" s="857">
        <v>274800.44108015904</v>
      </c>
      <c r="AE108" s="857">
        <v>283002.05539259117</v>
      </c>
      <c r="AF108" s="857">
        <v>289693.14940444514</v>
      </c>
    </row>
    <row r="109" spans="2:32" x14ac:dyDescent="0.3">
      <c r="B109" s="863" t="s">
        <v>331</v>
      </c>
      <c r="C109" s="1002">
        <f>Camden!M69</f>
        <v>0</v>
      </c>
      <c r="D109" s="1002">
        <f>Camden!N69</f>
        <v>0</v>
      </c>
      <c r="E109" s="1002">
        <f>Camden!O69</f>
        <v>0</v>
      </c>
      <c r="F109" s="1002">
        <f>Camden!P69</f>
        <v>0</v>
      </c>
      <c r="G109" s="1004">
        <f t="shared" si="20"/>
        <v>0</v>
      </c>
      <c r="H109" s="1004">
        <f t="shared" si="14"/>
        <v>0</v>
      </c>
      <c r="I109" s="1004">
        <f t="shared" si="15"/>
        <v>0</v>
      </c>
      <c r="J109" s="1004">
        <f t="shared" si="16"/>
        <v>0</v>
      </c>
      <c r="L109" s="863" t="s">
        <v>331</v>
      </c>
      <c r="M109" s="1002">
        <v>150864.42381984403</v>
      </c>
      <c r="N109" s="1002">
        <v>154839.10268313892</v>
      </c>
      <c r="O109" s="1002">
        <v>160893.1689229914</v>
      </c>
      <c r="P109" s="1002">
        <v>166593.90632461463</v>
      </c>
      <c r="Q109" s="1004">
        <f t="shared" si="21"/>
        <v>20.26113669350578</v>
      </c>
      <c r="R109" s="1004">
        <f t="shared" si="17"/>
        <v>20.794937239207481</v>
      </c>
      <c r="S109" s="1004">
        <f t="shared" si="18"/>
        <v>21.608000123958018</v>
      </c>
      <c r="T109" s="1004">
        <f t="shared" si="19"/>
        <v>22.373610841339598</v>
      </c>
      <c r="V109" s="863" t="s">
        <v>331</v>
      </c>
      <c r="W109" s="1006">
        <v>23.068287390041519</v>
      </c>
      <c r="X109" s="1006">
        <v>23.62041981708267</v>
      </c>
      <c r="Y109" s="1006">
        <v>24.486317684965947</v>
      </c>
      <c r="Z109" s="1006">
        <v>25.294786276495973</v>
      </c>
      <c r="AB109" s="857" t="s">
        <v>331</v>
      </c>
      <c r="AC109" s="857">
        <v>150864.42381984403</v>
      </c>
      <c r="AD109" s="857">
        <v>154839.10268313892</v>
      </c>
      <c r="AE109" s="857">
        <v>160893.1689229914</v>
      </c>
      <c r="AF109" s="857">
        <v>166593.90632461463</v>
      </c>
    </row>
    <row r="110" spans="2:32" x14ac:dyDescent="0.3">
      <c r="B110" s="863" t="s">
        <v>333</v>
      </c>
      <c r="C110" s="1002">
        <f>'Cape May'!M69</f>
        <v>0</v>
      </c>
      <c r="D110" s="1002">
        <f>'Cape May'!N69</f>
        <v>0</v>
      </c>
      <c r="E110" s="1002">
        <f>'Cape May'!O69</f>
        <v>0</v>
      </c>
      <c r="F110" s="1002">
        <f>'Cape May'!P69</f>
        <v>0</v>
      </c>
      <c r="G110" s="1004">
        <f t="shared" si="20"/>
        <v>0</v>
      </c>
      <c r="H110" s="1004">
        <f t="shared" si="14"/>
        <v>0</v>
      </c>
      <c r="I110" s="1004">
        <f t="shared" si="15"/>
        <v>0</v>
      </c>
      <c r="J110" s="1004">
        <f t="shared" si="16"/>
        <v>0</v>
      </c>
      <c r="L110" s="863" t="s">
        <v>333</v>
      </c>
      <c r="M110" s="1002">
        <v>140501.45494571485</v>
      </c>
      <c r="N110" s="1002">
        <v>140108.63452475172</v>
      </c>
      <c r="O110" s="1002">
        <v>141679.4097415607</v>
      </c>
      <c r="P110" s="1002">
        <v>143117.24674146043</v>
      </c>
      <c r="Q110" s="1004">
        <f t="shared" si="21"/>
        <v>18.869386911860712</v>
      </c>
      <c r="R110" s="1004">
        <f t="shared" si="17"/>
        <v>18.816631013262384</v>
      </c>
      <c r="S110" s="1004">
        <f t="shared" si="18"/>
        <v>19.027586588982096</v>
      </c>
      <c r="T110" s="1004">
        <f t="shared" si="19"/>
        <v>19.220688522892885</v>
      </c>
      <c r="V110" s="863" t="s">
        <v>333</v>
      </c>
      <c r="W110" s="1006">
        <v>25.073178708418403</v>
      </c>
      <c r="X110" s="1006">
        <v>24.914963676517981</v>
      </c>
      <c r="Y110" s="1006">
        <v>25.102969551120541</v>
      </c>
      <c r="Z110" s="1006">
        <v>25.27664720726175</v>
      </c>
      <c r="AB110" s="857" t="s">
        <v>333</v>
      </c>
      <c r="AC110" s="857">
        <v>140501.45494571485</v>
      </c>
      <c r="AD110" s="857">
        <v>140108.63452475172</v>
      </c>
      <c r="AE110" s="857">
        <v>141679.4097415607</v>
      </c>
      <c r="AF110" s="857">
        <v>143117.24674146043</v>
      </c>
    </row>
    <row r="111" spans="2:32" x14ac:dyDescent="0.3">
      <c r="B111" s="863" t="s">
        <v>335</v>
      </c>
      <c r="C111" s="1002">
        <f>Cumberland!M69</f>
        <v>0</v>
      </c>
      <c r="D111" s="1002">
        <f>Cumberland!N69</f>
        <v>0</v>
      </c>
      <c r="E111" s="1002">
        <f>Cumberland!O69</f>
        <v>0</v>
      </c>
      <c r="F111" s="1002">
        <f>Cumberland!P69</f>
        <v>0</v>
      </c>
      <c r="G111" s="1004">
        <f t="shared" si="20"/>
        <v>0</v>
      </c>
      <c r="H111" s="1004">
        <f t="shared" si="14"/>
        <v>0</v>
      </c>
      <c r="I111" s="1004">
        <f t="shared" si="15"/>
        <v>0</v>
      </c>
      <c r="J111" s="1004">
        <f t="shared" si="16"/>
        <v>0</v>
      </c>
      <c r="L111" s="863" t="s">
        <v>335</v>
      </c>
      <c r="M111" s="1002">
        <v>135600.62919819125</v>
      </c>
      <c r="N111" s="1002">
        <v>138767.61530261571</v>
      </c>
      <c r="O111" s="1002">
        <v>142273.71827894272</v>
      </c>
      <c r="P111" s="1002">
        <v>145860.62572519318</v>
      </c>
      <c r="Q111" s="1004">
        <f t="shared" si="21"/>
        <v>18.21120456596713</v>
      </c>
      <c r="R111" s="1004">
        <f t="shared" si="17"/>
        <v>18.63653173551111</v>
      </c>
      <c r="S111" s="1004">
        <f t="shared" si="18"/>
        <v>19.10740240114729</v>
      </c>
      <c r="T111" s="1004">
        <f t="shared" si="19"/>
        <v>19.589125130968736</v>
      </c>
      <c r="V111" s="863" t="s">
        <v>335</v>
      </c>
      <c r="W111" s="1006">
        <v>21.957981446349496</v>
      </c>
      <c r="X111" s="1006">
        <v>22.547584997616745</v>
      </c>
      <c r="Y111" s="1006">
        <v>23.221036697272339</v>
      </c>
      <c r="Z111" s="1006">
        <v>23.917122054291671</v>
      </c>
      <c r="AB111" s="857" t="s">
        <v>335</v>
      </c>
      <c r="AC111" s="857">
        <v>135600.62919819125</v>
      </c>
      <c r="AD111" s="857">
        <v>138767.61530261571</v>
      </c>
      <c r="AE111" s="857">
        <v>142273.71827894272</v>
      </c>
      <c r="AF111" s="857">
        <v>145860.62572519318</v>
      </c>
    </row>
    <row r="112" spans="2:32" x14ac:dyDescent="0.3">
      <c r="B112" s="863" t="s">
        <v>336</v>
      </c>
      <c r="C112" s="1002">
        <f>Essex!M69</f>
        <v>0</v>
      </c>
      <c r="D112" s="1002">
        <f>Essex!N69</f>
        <v>0</v>
      </c>
      <c r="E112" s="1002">
        <f>Essex!O69</f>
        <v>0</v>
      </c>
      <c r="F112" s="1002">
        <f>Essex!P69</f>
        <v>0</v>
      </c>
      <c r="G112" s="1004">
        <f t="shared" si="20"/>
        <v>0</v>
      </c>
      <c r="H112" s="1004">
        <f t="shared" si="14"/>
        <v>0</v>
      </c>
      <c r="I112" s="1004">
        <f t="shared" si="15"/>
        <v>0</v>
      </c>
      <c r="J112" s="1004">
        <f t="shared" si="16"/>
        <v>0</v>
      </c>
      <c r="L112" s="863" t="s">
        <v>336</v>
      </c>
      <c r="M112" s="1002">
        <v>162867.35483176378</v>
      </c>
      <c r="N112" s="1002">
        <v>167118.84165581441</v>
      </c>
      <c r="O112" s="1002">
        <v>171927.65949913379</v>
      </c>
      <c r="P112" s="1002">
        <v>176995.66057080033</v>
      </c>
      <c r="Q112" s="1004">
        <f t="shared" si="21"/>
        <v>21.873133874800402</v>
      </c>
      <c r="R112" s="1004">
        <f t="shared" si="17"/>
        <v>22.444109811417459</v>
      </c>
      <c r="S112" s="1004">
        <f t="shared" si="18"/>
        <v>23.089935468591701</v>
      </c>
      <c r="T112" s="1004">
        <f t="shared" si="19"/>
        <v>23.770569509911407</v>
      </c>
      <c r="V112" s="863" t="s">
        <v>336</v>
      </c>
      <c r="W112" s="1006">
        <v>35.881661042199006</v>
      </c>
      <c r="X112" s="1006">
        <v>36.949203757779017</v>
      </c>
      <c r="Y112" s="1006">
        <v>38.162885139476302</v>
      </c>
      <c r="Z112" s="1006">
        <v>39.463376231948821</v>
      </c>
      <c r="AB112" s="857" t="s">
        <v>336</v>
      </c>
      <c r="AC112" s="857">
        <v>162867.35483176378</v>
      </c>
      <c r="AD112" s="857">
        <v>167118.84165581441</v>
      </c>
      <c r="AE112" s="857">
        <v>171927.65949913379</v>
      </c>
      <c r="AF112" s="857">
        <v>176995.66057080033</v>
      </c>
    </row>
    <row r="113" spans="2:32" x14ac:dyDescent="0.3">
      <c r="B113" s="863" t="s">
        <v>337</v>
      </c>
      <c r="C113" s="1002">
        <f>Gloucester!M69</f>
        <v>0</v>
      </c>
      <c r="D113" s="1002">
        <f>Gloucester!N69</f>
        <v>0</v>
      </c>
      <c r="E113" s="1002">
        <f>Gloucester!O69</f>
        <v>0</v>
      </c>
      <c r="F113" s="1002">
        <f>Gloucester!P69</f>
        <v>0</v>
      </c>
      <c r="G113" s="1004">
        <f t="shared" si="20"/>
        <v>0</v>
      </c>
      <c r="H113" s="1004">
        <f t="shared" si="14"/>
        <v>0</v>
      </c>
      <c r="I113" s="1004">
        <f t="shared" si="15"/>
        <v>0</v>
      </c>
      <c r="J113" s="1004">
        <f t="shared" si="16"/>
        <v>0</v>
      </c>
      <c r="L113" s="863" t="s">
        <v>337</v>
      </c>
      <c r="M113" s="1002">
        <v>118471.39153934596</v>
      </c>
      <c r="N113" s="1002">
        <v>124670.32014269024</v>
      </c>
      <c r="O113" s="1002">
        <v>131652.35846100064</v>
      </c>
      <c r="P113" s="1002">
        <v>139198.68932744456</v>
      </c>
      <c r="Q113" s="1004">
        <f t="shared" si="21"/>
        <v>15.910742887368515</v>
      </c>
      <c r="R113" s="1004">
        <f t="shared" si="17"/>
        <v>16.743260830337125</v>
      </c>
      <c r="S113" s="1004">
        <f t="shared" si="18"/>
        <v>17.680950639403793</v>
      </c>
      <c r="T113" s="1004">
        <f t="shared" si="19"/>
        <v>18.694425104411035</v>
      </c>
      <c r="V113" s="863" t="s">
        <v>337</v>
      </c>
      <c r="W113" s="1006">
        <v>37.943112988814022</v>
      </c>
      <c r="X113" s="1006">
        <v>39.520805420309372</v>
      </c>
      <c r="Y113" s="1006">
        <v>41.648250136377058</v>
      </c>
      <c r="Z113" s="1006">
        <v>43.919757888139216</v>
      </c>
      <c r="AB113" s="857" t="s">
        <v>337</v>
      </c>
      <c r="AC113" s="857">
        <v>118471.39153934596</v>
      </c>
      <c r="AD113" s="857">
        <v>124670.32014269024</v>
      </c>
      <c r="AE113" s="857">
        <v>131652.35846100064</v>
      </c>
      <c r="AF113" s="857">
        <v>139198.68932744456</v>
      </c>
    </row>
    <row r="114" spans="2:32" x14ac:dyDescent="0.3">
      <c r="B114" s="863" t="s">
        <v>338</v>
      </c>
      <c r="C114" s="1002">
        <f>Hudson!M69</f>
        <v>0</v>
      </c>
      <c r="D114" s="1002">
        <f>Hudson!N69</f>
        <v>0</v>
      </c>
      <c r="E114" s="1002">
        <f>Hudson!O69</f>
        <v>0</v>
      </c>
      <c r="F114" s="1002">
        <f>Hudson!P69</f>
        <v>0</v>
      </c>
      <c r="G114" s="1004">
        <f t="shared" si="20"/>
        <v>0</v>
      </c>
      <c r="H114" s="1004">
        <f t="shared" si="14"/>
        <v>0</v>
      </c>
      <c r="I114" s="1004">
        <f t="shared" si="15"/>
        <v>0</v>
      </c>
      <c r="J114" s="1004">
        <f t="shared" si="16"/>
        <v>0</v>
      </c>
      <c r="L114" s="863" t="s">
        <v>338</v>
      </c>
      <c r="M114" s="1002">
        <v>180402.40602005721</v>
      </c>
      <c r="N114" s="1002">
        <v>186482.20003743464</v>
      </c>
      <c r="O114" s="1002">
        <v>193201.56006497308</v>
      </c>
      <c r="P114" s="1002">
        <v>200651.58466128245</v>
      </c>
      <c r="Q114" s="1004">
        <f t="shared" si="21"/>
        <v>24.228096430305829</v>
      </c>
      <c r="R114" s="1004">
        <f t="shared" si="17"/>
        <v>25.044614563179515</v>
      </c>
      <c r="S114" s="1004">
        <f t="shared" si="18"/>
        <v>25.947026600184405</v>
      </c>
      <c r="T114" s="1004">
        <f t="shared" si="19"/>
        <v>26.947567104657864</v>
      </c>
      <c r="V114" s="863" t="s">
        <v>338</v>
      </c>
      <c r="W114" s="1006">
        <v>27.594617984315647</v>
      </c>
      <c r="X114" s="1006">
        <v>28.420402424576537</v>
      </c>
      <c r="Y114" s="1006">
        <v>29.335744567015634</v>
      </c>
      <c r="Z114" s="1006">
        <v>30.353349266918496</v>
      </c>
      <c r="AB114" s="857" t="s">
        <v>338</v>
      </c>
      <c r="AC114" s="857">
        <v>180402.40602005721</v>
      </c>
      <c r="AD114" s="857">
        <v>186482.20003743464</v>
      </c>
      <c r="AE114" s="857">
        <v>193201.56006497308</v>
      </c>
      <c r="AF114" s="857">
        <v>200651.58466128245</v>
      </c>
    </row>
    <row r="115" spans="2:32" x14ac:dyDescent="0.3">
      <c r="B115" s="863" t="s">
        <v>339</v>
      </c>
      <c r="C115" s="1002">
        <f>Hunterdon!M69</f>
        <v>0</v>
      </c>
      <c r="D115" s="1002">
        <f>Hunterdon!N69</f>
        <v>0</v>
      </c>
      <c r="E115" s="1002">
        <f>Hunterdon!O69</f>
        <v>0</v>
      </c>
      <c r="F115" s="1002">
        <f>Hunterdon!P69</f>
        <v>0</v>
      </c>
      <c r="G115" s="1004">
        <f t="shared" si="20"/>
        <v>0</v>
      </c>
      <c r="H115" s="1004">
        <f t="shared" si="14"/>
        <v>0</v>
      </c>
      <c r="I115" s="1004">
        <f t="shared" si="15"/>
        <v>0</v>
      </c>
      <c r="J115" s="1004">
        <f t="shared" si="16"/>
        <v>0</v>
      </c>
      <c r="L115" s="863" t="s">
        <v>339</v>
      </c>
      <c r="M115" s="1002">
        <v>162818.90576112748</v>
      </c>
      <c r="N115" s="1002">
        <v>168257.30111056773</v>
      </c>
      <c r="O115" s="1002">
        <v>175516.3900507956</v>
      </c>
      <c r="P115" s="1002">
        <v>182780.49288960354</v>
      </c>
      <c r="Q115" s="1004">
        <f t="shared" si="21"/>
        <v>21.866627150299152</v>
      </c>
      <c r="R115" s="1004">
        <f t="shared" si="17"/>
        <v>22.597005252560802</v>
      </c>
      <c r="S115" s="1004">
        <f t="shared" si="18"/>
        <v>23.57190304200854</v>
      </c>
      <c r="T115" s="1004">
        <f t="shared" si="19"/>
        <v>24.547474199516994</v>
      </c>
      <c r="V115" s="863" t="s">
        <v>339</v>
      </c>
      <c r="W115" s="1006">
        <v>24.228578244791326</v>
      </c>
      <c r="X115" s="1006">
        <v>24.970682675107117</v>
      </c>
      <c r="Y115" s="1006">
        <v>25.964853060893759</v>
      </c>
      <c r="Z115" s="1006">
        <v>26.957645872236654</v>
      </c>
      <c r="AB115" s="857" t="s">
        <v>339</v>
      </c>
      <c r="AC115" s="857">
        <v>162818.90576112748</v>
      </c>
      <c r="AD115" s="857">
        <v>168257.30111056773</v>
      </c>
      <c r="AE115" s="857">
        <v>175516.3900507956</v>
      </c>
      <c r="AF115" s="857">
        <v>182780.49288960354</v>
      </c>
    </row>
    <row r="116" spans="2:32" x14ac:dyDescent="0.3">
      <c r="B116" s="863" t="s">
        <v>340</v>
      </c>
      <c r="C116" s="1002">
        <f>Mercer!M69</f>
        <v>0</v>
      </c>
      <c r="D116" s="1002">
        <f>Mercer!N69</f>
        <v>0</v>
      </c>
      <c r="E116" s="1002">
        <f>Mercer!O69</f>
        <v>0</v>
      </c>
      <c r="F116" s="1002">
        <f>Mercer!P69</f>
        <v>0</v>
      </c>
      <c r="G116" s="1004">
        <f t="shared" si="20"/>
        <v>0</v>
      </c>
      <c r="H116" s="1004">
        <f t="shared" si="14"/>
        <v>0</v>
      </c>
      <c r="I116" s="1004">
        <f t="shared" si="15"/>
        <v>0</v>
      </c>
      <c r="J116" s="1004">
        <f t="shared" si="16"/>
        <v>0</v>
      </c>
      <c r="L116" s="863" t="s">
        <v>340</v>
      </c>
      <c r="M116" s="1002">
        <v>239559.65964661801</v>
      </c>
      <c r="N116" s="1002">
        <v>245957.86063087147</v>
      </c>
      <c r="O116" s="1002">
        <v>253026.5394360616</v>
      </c>
      <c r="P116" s="1002">
        <v>261257.03970892107</v>
      </c>
      <c r="Q116" s="1004">
        <f t="shared" si="21"/>
        <v>32.172933070993551</v>
      </c>
      <c r="R116" s="1004">
        <f t="shared" si="17"/>
        <v>33.032213353595417</v>
      </c>
      <c r="S116" s="1004">
        <f t="shared" si="18"/>
        <v>33.981539005648884</v>
      </c>
      <c r="T116" s="1004">
        <f t="shared" si="19"/>
        <v>35.086897624082873</v>
      </c>
      <c r="V116" s="863" t="s">
        <v>340</v>
      </c>
      <c r="W116" s="1006">
        <v>35.359318761105527</v>
      </c>
      <c r="X116" s="1006">
        <v>36.297807481777014</v>
      </c>
      <c r="Y116" s="1006">
        <v>37.339564583821755</v>
      </c>
      <c r="Z116" s="1006">
        <v>38.553992004146558</v>
      </c>
      <c r="AB116" s="857" t="s">
        <v>340</v>
      </c>
      <c r="AC116" s="857">
        <v>239559.65964661801</v>
      </c>
      <c r="AD116" s="857">
        <v>245957.86063087147</v>
      </c>
      <c r="AE116" s="857">
        <v>253026.5394360616</v>
      </c>
      <c r="AF116" s="857">
        <v>261257.03970892107</v>
      </c>
    </row>
    <row r="117" spans="2:32" x14ac:dyDescent="0.3">
      <c r="B117" s="863" t="s">
        <v>341</v>
      </c>
      <c r="C117" s="1002">
        <f>Middlesex!M69</f>
        <v>0</v>
      </c>
      <c r="D117" s="1002">
        <f>Middlesex!N69</f>
        <v>0</v>
      </c>
      <c r="E117" s="1002">
        <f>Middlesex!O69</f>
        <v>0</v>
      </c>
      <c r="F117" s="1002">
        <f>Middlesex!P69</f>
        <v>0</v>
      </c>
      <c r="G117" s="1004">
        <f t="shared" si="20"/>
        <v>0</v>
      </c>
      <c r="H117" s="1004">
        <f t="shared" si="14"/>
        <v>0</v>
      </c>
      <c r="I117" s="1004">
        <f t="shared" si="15"/>
        <v>0</v>
      </c>
      <c r="J117" s="1004">
        <f t="shared" si="16"/>
        <v>0</v>
      </c>
      <c r="L117" s="863" t="s">
        <v>341</v>
      </c>
      <c r="M117" s="1002">
        <v>350125.19969043357</v>
      </c>
      <c r="N117" s="1002">
        <v>364790.05490238051</v>
      </c>
      <c r="O117" s="1002">
        <v>383172.00522283698</v>
      </c>
      <c r="P117" s="1002">
        <v>398938.63264639367</v>
      </c>
      <c r="Q117" s="1004">
        <f t="shared" si="21"/>
        <v>47.021917766644314</v>
      </c>
      <c r="R117" s="1004">
        <f t="shared" si="17"/>
        <v>48.991412154496444</v>
      </c>
      <c r="S117" s="1004">
        <f t="shared" si="18"/>
        <v>51.460113513676738</v>
      </c>
      <c r="T117" s="1004">
        <f t="shared" si="19"/>
        <v>53.577576235078389</v>
      </c>
      <c r="V117" s="863" t="s">
        <v>341</v>
      </c>
      <c r="W117" s="1006">
        <v>59.756041508365897</v>
      </c>
      <c r="X117" s="1006">
        <v>61.984316495995202</v>
      </c>
      <c r="Y117" s="1006">
        <v>64.876954072220244</v>
      </c>
      <c r="Z117" s="1006">
        <v>67.308935910368731</v>
      </c>
      <c r="AB117" s="857" t="s">
        <v>341</v>
      </c>
      <c r="AC117" s="857">
        <v>350125.19969043357</v>
      </c>
      <c r="AD117" s="857">
        <v>364790.05490238051</v>
      </c>
      <c r="AE117" s="857">
        <v>383172.00522283698</v>
      </c>
      <c r="AF117" s="857">
        <v>398938.63264639367</v>
      </c>
    </row>
    <row r="118" spans="2:32" x14ac:dyDescent="0.3">
      <c r="B118" s="863" t="s">
        <v>342</v>
      </c>
      <c r="C118" s="1002">
        <f>Monmouth!M69</f>
        <v>0</v>
      </c>
      <c r="D118" s="1002">
        <f>Monmouth!N69</f>
        <v>0</v>
      </c>
      <c r="E118" s="1002">
        <f>Monmouth!O69</f>
        <v>0</v>
      </c>
      <c r="F118" s="1002">
        <f>Monmouth!P69</f>
        <v>0</v>
      </c>
      <c r="G118" s="1004">
        <f t="shared" si="20"/>
        <v>0</v>
      </c>
      <c r="H118" s="1004">
        <f t="shared" si="14"/>
        <v>0</v>
      </c>
      <c r="I118" s="1004">
        <f t="shared" si="15"/>
        <v>0</v>
      </c>
      <c r="J118" s="1004">
        <f t="shared" si="16"/>
        <v>0</v>
      </c>
      <c r="L118" s="863" t="s">
        <v>342</v>
      </c>
      <c r="M118" s="1002">
        <v>311106.49712083227</v>
      </c>
      <c r="N118" s="1002">
        <v>320686.24724924751</v>
      </c>
      <c r="O118" s="1002">
        <v>332118.70506507508</v>
      </c>
      <c r="P118" s="1002">
        <v>343352.1904790597</v>
      </c>
      <c r="Q118" s="1004">
        <f t="shared" si="21"/>
        <v>41.781694483055638</v>
      </c>
      <c r="R118" s="1004">
        <f t="shared" si="17"/>
        <v>43.068257755741008</v>
      </c>
      <c r="S118" s="1004">
        <f t="shared" si="18"/>
        <v>44.60364021824806</v>
      </c>
      <c r="T118" s="1004">
        <f t="shared" si="19"/>
        <v>46.112300628399105</v>
      </c>
      <c r="V118" s="863" t="s">
        <v>342</v>
      </c>
      <c r="W118" s="1006">
        <v>50.018172863563009</v>
      </c>
      <c r="X118" s="1006">
        <v>51.407308963529417</v>
      </c>
      <c r="Y118" s="1006">
        <v>53.09039328586617</v>
      </c>
      <c r="Z118" s="1006">
        <v>54.734793482794046</v>
      </c>
      <c r="AB118" s="857" t="s">
        <v>342</v>
      </c>
      <c r="AC118" s="857">
        <v>311106.49712083227</v>
      </c>
      <c r="AD118" s="857">
        <v>320686.24724924751</v>
      </c>
      <c r="AE118" s="857">
        <v>332118.70506507508</v>
      </c>
      <c r="AF118" s="857">
        <v>343352.1904790597</v>
      </c>
    </row>
    <row r="119" spans="2:32" x14ac:dyDescent="0.3">
      <c r="B119" s="863" t="s">
        <v>343</v>
      </c>
      <c r="C119" s="1002">
        <f>Morris!M69</f>
        <v>0</v>
      </c>
      <c r="D119" s="1002">
        <f>Morris!N69</f>
        <v>0</v>
      </c>
      <c r="E119" s="1002">
        <f>Morris!O69</f>
        <v>0</v>
      </c>
      <c r="F119" s="1002">
        <f>Morris!P69</f>
        <v>0</v>
      </c>
      <c r="G119" s="1004">
        <f t="shared" si="20"/>
        <v>0</v>
      </c>
      <c r="H119" s="1004">
        <f t="shared" si="14"/>
        <v>0</v>
      </c>
      <c r="I119" s="1004">
        <f t="shared" si="15"/>
        <v>0</v>
      </c>
      <c r="J119" s="1004">
        <f t="shared" si="16"/>
        <v>0</v>
      </c>
      <c r="L119" s="863" t="s">
        <v>343</v>
      </c>
      <c r="M119" s="1002">
        <v>224868.72112826398</v>
      </c>
      <c r="N119" s="1002">
        <v>231569.74800100364</v>
      </c>
      <c r="O119" s="1002">
        <v>239679.65219733154</v>
      </c>
      <c r="P119" s="1002">
        <v>247955.78641495627</v>
      </c>
      <c r="Q119" s="1004">
        <f t="shared" si="21"/>
        <v>30.199935687384365</v>
      </c>
      <c r="R119" s="1004">
        <f t="shared" si="17"/>
        <v>31.099885576283057</v>
      </c>
      <c r="S119" s="1004">
        <f t="shared" si="18"/>
        <v>32.189048106007462</v>
      </c>
      <c r="T119" s="1004">
        <f t="shared" si="19"/>
        <v>33.300535376706456</v>
      </c>
      <c r="V119" s="863" t="s">
        <v>343</v>
      </c>
      <c r="W119" s="1006">
        <v>36.965253989070533</v>
      </c>
      <c r="X119" s="1006">
        <v>37.96829800558114</v>
      </c>
      <c r="Y119" s="1006">
        <v>39.220800039864983</v>
      </c>
      <c r="Z119" s="1006">
        <v>40.492299338488266</v>
      </c>
      <c r="AB119" s="857" t="s">
        <v>343</v>
      </c>
      <c r="AC119" s="857">
        <v>224868.72112826398</v>
      </c>
      <c r="AD119" s="857">
        <v>231569.74800100364</v>
      </c>
      <c r="AE119" s="857">
        <v>239679.65219733154</v>
      </c>
      <c r="AF119" s="857">
        <v>247955.78641495627</v>
      </c>
    </row>
    <row r="120" spans="2:32" x14ac:dyDescent="0.3">
      <c r="B120" s="863" t="s">
        <v>344</v>
      </c>
      <c r="C120" s="1002">
        <f>Ocean!M69</f>
        <v>0</v>
      </c>
      <c r="D120" s="1002">
        <f>Ocean!N69</f>
        <v>0</v>
      </c>
      <c r="E120" s="1002">
        <f>Ocean!O69</f>
        <v>0</v>
      </c>
      <c r="F120" s="1002">
        <f>Ocean!P69</f>
        <v>0</v>
      </c>
      <c r="G120" s="1004">
        <f t="shared" si="20"/>
        <v>0</v>
      </c>
      <c r="H120" s="1004">
        <f t="shared" si="14"/>
        <v>0</v>
      </c>
      <c r="I120" s="1004">
        <f t="shared" si="15"/>
        <v>0</v>
      </c>
      <c r="J120" s="1004">
        <f t="shared" si="16"/>
        <v>0</v>
      </c>
      <c r="L120" s="863" t="s">
        <v>344</v>
      </c>
      <c r="M120" s="1002">
        <v>274805.86164110492</v>
      </c>
      <c r="N120" s="1002">
        <v>286294.12318759016</v>
      </c>
      <c r="O120" s="1002">
        <v>304102.83836396888</v>
      </c>
      <c r="P120" s="1002">
        <v>320543.46363456285</v>
      </c>
      <c r="Q120" s="1004">
        <f t="shared" si="21"/>
        <v>36.9065084127189</v>
      </c>
      <c r="R120" s="1004">
        <f t="shared" si="17"/>
        <v>38.449385332741087</v>
      </c>
      <c r="S120" s="1004">
        <f t="shared" si="18"/>
        <v>40.841101042703315</v>
      </c>
      <c r="T120" s="1004">
        <f t="shared" si="19"/>
        <v>43.049081874101915</v>
      </c>
      <c r="V120" s="863" t="s">
        <v>344</v>
      </c>
      <c r="W120" s="1006">
        <v>47.591268277529423</v>
      </c>
      <c r="X120" s="1006">
        <v>49.432325005690373</v>
      </c>
      <c r="Y120" s="1006">
        <v>52.474212137750463</v>
      </c>
      <c r="Z120" s="1006">
        <v>55.270546622388956</v>
      </c>
      <c r="AB120" s="857" t="s">
        <v>344</v>
      </c>
      <c r="AC120" s="857">
        <v>274805.86164110492</v>
      </c>
      <c r="AD120" s="857">
        <v>286294.12318759016</v>
      </c>
      <c r="AE120" s="857">
        <v>304102.83836396888</v>
      </c>
      <c r="AF120" s="857">
        <v>320543.46363456285</v>
      </c>
    </row>
    <row r="121" spans="2:32" x14ac:dyDescent="0.3">
      <c r="B121" s="863" t="s">
        <v>345</v>
      </c>
      <c r="C121" s="1002">
        <f>Passaic!M69</f>
        <v>0</v>
      </c>
      <c r="D121" s="1002">
        <f>Passaic!N69</f>
        <v>0</v>
      </c>
      <c r="E121" s="1002">
        <f>Passaic!O69</f>
        <v>0</v>
      </c>
      <c r="F121" s="1002">
        <f>Passaic!P69</f>
        <v>0</v>
      </c>
      <c r="G121" s="1004">
        <f t="shared" si="20"/>
        <v>0</v>
      </c>
      <c r="H121" s="1004">
        <f t="shared" si="14"/>
        <v>0</v>
      </c>
      <c r="I121" s="1004">
        <f t="shared" si="15"/>
        <v>0</v>
      </c>
      <c r="J121" s="1004">
        <f t="shared" si="16"/>
        <v>0</v>
      </c>
      <c r="L121" s="863" t="s">
        <v>345</v>
      </c>
      <c r="M121" s="1002">
        <v>184366.03133013283</v>
      </c>
      <c r="N121" s="1002">
        <v>187655.57696832696</v>
      </c>
      <c r="O121" s="1002">
        <v>191189.03953613431</v>
      </c>
      <c r="P121" s="1002">
        <v>195194.79778248796</v>
      </c>
      <c r="Q121" s="1004">
        <f t="shared" si="21"/>
        <v>24.7604124805443</v>
      </c>
      <c r="R121" s="1004">
        <f t="shared" si="17"/>
        <v>25.202199431685059</v>
      </c>
      <c r="S121" s="1004">
        <f t="shared" si="18"/>
        <v>25.676744498540735</v>
      </c>
      <c r="T121" s="1004">
        <f t="shared" si="19"/>
        <v>26.214719014569965</v>
      </c>
      <c r="V121" s="863" t="s">
        <v>345</v>
      </c>
      <c r="W121" s="1006">
        <v>27.593677060818056</v>
      </c>
      <c r="X121" s="1006">
        <v>28.087896669619496</v>
      </c>
      <c r="Y121" s="1006">
        <v>28.620214074024727</v>
      </c>
      <c r="Z121" s="1006">
        <v>29.225151568331075</v>
      </c>
      <c r="AB121" s="857" t="s">
        <v>345</v>
      </c>
      <c r="AC121" s="857">
        <v>184366.03133013283</v>
      </c>
      <c r="AD121" s="857">
        <v>187655.57696832696</v>
      </c>
      <c r="AE121" s="857">
        <v>191189.03953613431</v>
      </c>
      <c r="AF121" s="857">
        <v>195194.79778248796</v>
      </c>
    </row>
    <row r="122" spans="2:32" x14ac:dyDescent="0.3">
      <c r="B122" s="863" t="s">
        <v>346</v>
      </c>
      <c r="C122" s="1002">
        <f>Salem!M69</f>
        <v>0</v>
      </c>
      <c r="D122" s="1002">
        <f>Salem!N69</f>
        <v>0</v>
      </c>
      <c r="E122" s="1002">
        <f>Salem!O69</f>
        <v>0</v>
      </c>
      <c r="F122" s="1002">
        <f>Salem!P69</f>
        <v>0</v>
      </c>
      <c r="G122" s="1004">
        <f t="shared" si="20"/>
        <v>0</v>
      </c>
      <c r="H122" s="1004">
        <f t="shared" si="14"/>
        <v>0</v>
      </c>
      <c r="I122" s="1004">
        <f t="shared" si="15"/>
        <v>0</v>
      </c>
      <c r="J122" s="1004">
        <f t="shared" si="16"/>
        <v>0</v>
      </c>
      <c r="L122" s="863" t="s">
        <v>346</v>
      </c>
      <c r="M122" s="1002">
        <v>105159.70790241171</v>
      </c>
      <c r="N122" s="1002">
        <v>106260.6708159315</v>
      </c>
      <c r="O122" s="1002">
        <v>107424.38373231776</v>
      </c>
      <c r="P122" s="1002">
        <v>108706.43541844645</v>
      </c>
      <c r="Q122" s="1004">
        <f t="shared" si="21"/>
        <v>14.122979841849546</v>
      </c>
      <c r="R122" s="1004">
        <f t="shared" si="17"/>
        <v>14.270839486426473</v>
      </c>
      <c r="S122" s="1004">
        <f t="shared" si="18"/>
        <v>14.427126474928519</v>
      </c>
      <c r="T122" s="1004">
        <f t="shared" si="19"/>
        <v>14.599306395171428</v>
      </c>
      <c r="V122" s="863" t="s">
        <v>346</v>
      </c>
      <c r="W122" s="1006">
        <v>18.371640680553494</v>
      </c>
      <c r="X122" s="1006">
        <v>18.530115677796953</v>
      </c>
      <c r="Y122" s="1006">
        <v>18.702929876235942</v>
      </c>
      <c r="Z122" s="1006">
        <v>18.894796402377896</v>
      </c>
      <c r="AB122" s="857" t="s">
        <v>346</v>
      </c>
      <c r="AC122" s="857">
        <v>105159.70790241171</v>
      </c>
      <c r="AD122" s="857">
        <v>106260.6708159315</v>
      </c>
      <c r="AE122" s="857">
        <v>107424.38373231776</v>
      </c>
      <c r="AF122" s="857">
        <v>108706.43541844645</v>
      </c>
    </row>
    <row r="123" spans="2:32" x14ac:dyDescent="0.3">
      <c r="B123" s="863" t="s">
        <v>347</v>
      </c>
      <c r="C123" s="1002">
        <f>Somerset!M69</f>
        <v>0</v>
      </c>
      <c r="D123" s="1002">
        <f>Somerset!N69</f>
        <v>0</v>
      </c>
      <c r="E123" s="1002">
        <f>Somerset!O69</f>
        <v>0</v>
      </c>
      <c r="F123" s="1002">
        <f>Somerset!P69</f>
        <v>0</v>
      </c>
      <c r="G123" s="1004">
        <f t="shared" si="20"/>
        <v>0</v>
      </c>
      <c r="H123" s="1004">
        <f t="shared" si="14"/>
        <v>0</v>
      </c>
      <c r="I123" s="1004">
        <f t="shared" si="15"/>
        <v>0</v>
      </c>
      <c r="J123" s="1004">
        <f t="shared" si="16"/>
        <v>0</v>
      </c>
      <c r="L123" s="863" t="s">
        <v>347</v>
      </c>
      <c r="M123" s="1002">
        <v>100105.75227407836</v>
      </c>
      <c r="N123" s="1002">
        <v>103551.16612281909</v>
      </c>
      <c r="O123" s="1002">
        <v>108072.65703934364</v>
      </c>
      <c r="P123" s="1002">
        <v>111797.01244868658</v>
      </c>
      <c r="Q123" s="1004">
        <f t="shared" si="21"/>
        <v>13.44423210771936</v>
      </c>
      <c r="R123" s="1004">
        <f t="shared" si="17"/>
        <v>13.906952205589457</v>
      </c>
      <c r="S123" s="1004">
        <f t="shared" si="18"/>
        <v>14.51418977160135</v>
      </c>
      <c r="T123" s="1004">
        <f t="shared" si="19"/>
        <v>15.014371803476577</v>
      </c>
      <c r="V123" s="863" t="s">
        <v>347</v>
      </c>
      <c r="W123" s="1006">
        <v>15.948836530723387</v>
      </c>
      <c r="X123" s="1006">
        <v>16.478351478700052</v>
      </c>
      <c r="Y123" s="1006">
        <v>17.179053646261277</v>
      </c>
      <c r="Z123" s="1006">
        <v>17.751429895286861</v>
      </c>
      <c r="AB123" s="857" t="s">
        <v>347</v>
      </c>
      <c r="AC123" s="857">
        <v>100105.75227407836</v>
      </c>
      <c r="AD123" s="857">
        <v>103551.16612281909</v>
      </c>
      <c r="AE123" s="857">
        <v>108072.65703934364</v>
      </c>
      <c r="AF123" s="857">
        <v>111797.01244868658</v>
      </c>
    </row>
    <row r="124" spans="2:32" x14ac:dyDescent="0.3">
      <c r="B124" s="863" t="s">
        <v>348</v>
      </c>
      <c r="C124" s="1002">
        <f>Sussex!M69</f>
        <v>0</v>
      </c>
      <c r="D124" s="1002">
        <f>Sussex!N69</f>
        <v>0</v>
      </c>
      <c r="E124" s="1002">
        <f>Sussex!O69</f>
        <v>0</v>
      </c>
      <c r="F124" s="1002">
        <f>Sussex!P69</f>
        <v>0</v>
      </c>
      <c r="G124" s="1004">
        <f t="shared" si="20"/>
        <v>0</v>
      </c>
      <c r="H124" s="1004">
        <f t="shared" si="14"/>
        <v>0</v>
      </c>
      <c r="I124" s="1004">
        <f t="shared" si="15"/>
        <v>0</v>
      </c>
      <c r="J124" s="1004">
        <f t="shared" si="16"/>
        <v>0</v>
      </c>
      <c r="L124" s="863" t="s">
        <v>348</v>
      </c>
      <c r="M124" s="1002">
        <v>127452.90326359014</v>
      </c>
      <c r="N124" s="1002">
        <v>129386.59374333263</v>
      </c>
      <c r="O124" s="1002">
        <v>131841.01415515511</v>
      </c>
      <c r="P124" s="1002">
        <v>133583.94814760887</v>
      </c>
      <c r="Q124" s="1004">
        <f t="shared" si="21"/>
        <v>17.116962565617801</v>
      </c>
      <c r="R124" s="1004">
        <f t="shared" si="17"/>
        <v>17.376657768376663</v>
      </c>
      <c r="S124" s="1004">
        <f t="shared" si="18"/>
        <v>17.706287154869074</v>
      </c>
      <c r="T124" s="1004">
        <f t="shared" si="19"/>
        <v>17.940363705024023</v>
      </c>
      <c r="V124" s="863" t="s">
        <v>348</v>
      </c>
      <c r="W124" s="1006">
        <v>19.996622778723861</v>
      </c>
      <c r="X124" s="1006">
        <v>20.276663607349082</v>
      </c>
      <c r="Y124" s="1006">
        <v>20.635005753521138</v>
      </c>
      <c r="Z124" s="1006">
        <v>20.886014185488126</v>
      </c>
      <c r="AB124" s="857" t="s">
        <v>348</v>
      </c>
      <c r="AC124" s="857">
        <v>127452.90326359014</v>
      </c>
      <c r="AD124" s="857">
        <v>129386.59374333263</v>
      </c>
      <c r="AE124" s="857">
        <v>131841.01415515511</v>
      </c>
      <c r="AF124" s="857">
        <v>133583.94814760887</v>
      </c>
    </row>
    <row r="125" spans="2:32" x14ac:dyDescent="0.3">
      <c r="B125" s="863" t="s">
        <v>349</v>
      </c>
      <c r="C125" s="1002">
        <f>Union!M69</f>
        <v>0</v>
      </c>
      <c r="D125" s="1002">
        <f>Union!N69</f>
        <v>0</v>
      </c>
      <c r="E125" s="1002">
        <f>Union!O69</f>
        <v>0</v>
      </c>
      <c r="F125" s="1002">
        <f>Union!P69</f>
        <v>0</v>
      </c>
      <c r="G125" s="1004">
        <f t="shared" si="20"/>
        <v>0</v>
      </c>
      <c r="H125" s="1004">
        <f t="shared" si="14"/>
        <v>0</v>
      </c>
      <c r="I125" s="1004">
        <f t="shared" si="15"/>
        <v>0</v>
      </c>
      <c r="J125" s="1004">
        <f t="shared" si="16"/>
        <v>0</v>
      </c>
      <c r="L125" s="863" t="s">
        <v>349</v>
      </c>
      <c r="M125" s="1002">
        <v>104488.95686129945</v>
      </c>
      <c r="N125" s="1002">
        <v>107499.06698134611</v>
      </c>
      <c r="O125" s="1002">
        <v>110818.41395613758</v>
      </c>
      <c r="P125" s="1002">
        <v>114470.36314002315</v>
      </c>
      <c r="Q125" s="1004">
        <f t="shared" si="21"/>
        <v>14.03289777884763</v>
      </c>
      <c r="R125" s="1004">
        <f t="shared" si="17"/>
        <v>14.43715645733899</v>
      </c>
      <c r="S125" s="1004">
        <f t="shared" si="18"/>
        <v>14.882945736789898</v>
      </c>
      <c r="T125" s="1004">
        <f t="shared" si="19"/>
        <v>15.373403591193011</v>
      </c>
      <c r="V125" s="863" t="s">
        <v>349</v>
      </c>
      <c r="W125" s="1006">
        <v>17.869724735613985</v>
      </c>
      <c r="X125" s="1006">
        <v>18.297999736057935</v>
      </c>
      <c r="Y125" s="1006">
        <v>18.775395992648257</v>
      </c>
      <c r="Z125" s="1006">
        <v>19.304782945270304</v>
      </c>
      <c r="AB125" s="857" t="s">
        <v>349</v>
      </c>
      <c r="AC125" s="857">
        <v>104488.95686129945</v>
      </c>
      <c r="AD125" s="857">
        <v>107499.06698134611</v>
      </c>
      <c r="AE125" s="857">
        <v>110818.41395613758</v>
      </c>
      <c r="AF125" s="857">
        <v>114470.36314002315</v>
      </c>
    </row>
    <row r="126" spans="2:32" ht="15" thickBot="1" x14ac:dyDescent="0.35">
      <c r="B126" s="877" t="s">
        <v>350</v>
      </c>
      <c r="C126" s="1002">
        <f>Warren!M69</f>
        <v>0</v>
      </c>
      <c r="D126" s="1002">
        <f>Warren!N69</f>
        <v>0</v>
      </c>
      <c r="E126" s="1002">
        <f>Warren!O69</f>
        <v>0</v>
      </c>
      <c r="F126" s="1002">
        <f>Warren!P69</f>
        <v>0</v>
      </c>
      <c r="G126" s="1004">
        <f t="shared" si="20"/>
        <v>0</v>
      </c>
      <c r="H126" s="1004">
        <f t="shared" si="14"/>
        <v>0</v>
      </c>
      <c r="I126" s="1004">
        <f t="shared" si="15"/>
        <v>0</v>
      </c>
      <c r="J126" s="1004">
        <f t="shared" si="16"/>
        <v>0</v>
      </c>
      <c r="L126" s="877" t="s">
        <v>350</v>
      </c>
      <c r="M126" s="1002">
        <v>123631.17769804501</v>
      </c>
      <c r="N126" s="1002">
        <v>125081.42423097447</v>
      </c>
      <c r="O126" s="1002">
        <v>126703.59017114043</v>
      </c>
      <c r="P126" s="1002">
        <v>128174.94449457445</v>
      </c>
      <c r="Q126" s="1004">
        <f t="shared" si="21"/>
        <v>16.60370369299557</v>
      </c>
      <c r="R126" s="1004">
        <f t="shared" si="17"/>
        <v>16.798472230858781</v>
      </c>
      <c r="S126" s="1004">
        <f t="shared" si="18"/>
        <v>17.016329595909269</v>
      </c>
      <c r="T126" s="1004">
        <f t="shared" si="19"/>
        <v>17.213932916273762</v>
      </c>
      <c r="V126" s="877" t="s">
        <v>350</v>
      </c>
      <c r="W126" s="1006">
        <v>20.693943460397794</v>
      </c>
      <c r="X126" s="1006">
        <v>20.925372378484369</v>
      </c>
      <c r="Y126" s="1006">
        <v>21.195540342485874</v>
      </c>
      <c r="Z126" s="1006">
        <v>21.436978471537543</v>
      </c>
      <c r="AB126" s="857" t="s">
        <v>350</v>
      </c>
      <c r="AC126" s="857">
        <v>123631.17769804501</v>
      </c>
      <c r="AD126" s="857">
        <v>125081.42423097447</v>
      </c>
      <c r="AE126" s="857">
        <v>126703.59017114043</v>
      </c>
      <c r="AF126" s="857">
        <v>128174.94449457445</v>
      </c>
    </row>
    <row r="127" spans="2:32" ht="15" thickTop="1" x14ac:dyDescent="0.3">
      <c r="B127" s="879" t="s">
        <v>351</v>
      </c>
      <c r="C127" s="1002">
        <f>SUM(C106:C126)</f>
        <v>0</v>
      </c>
      <c r="D127" s="1002">
        <f t="shared" ref="D127:F127" si="22">SUM(D106:D126)</f>
        <v>0</v>
      </c>
      <c r="E127" s="1002">
        <f t="shared" si="22"/>
        <v>0</v>
      </c>
      <c r="F127" s="1002">
        <f t="shared" si="22"/>
        <v>0</v>
      </c>
      <c r="G127" s="1002">
        <f t="shared" ref="G127" si="23">SUM(G106:G126)</f>
        <v>0</v>
      </c>
      <c r="H127" s="1002">
        <f t="shared" ref="H127" si="24">SUM(H106:H126)</f>
        <v>0</v>
      </c>
      <c r="I127" s="1002">
        <f t="shared" ref="I127" si="25">SUM(I106:I126)</f>
        <v>0</v>
      </c>
      <c r="J127" s="1002">
        <f t="shared" ref="J127" si="26">SUM(J106:J126)</f>
        <v>0</v>
      </c>
      <c r="L127" s="879" t="s">
        <v>351</v>
      </c>
      <c r="M127" s="1002">
        <f>SUM(M106:M126)</f>
        <v>3989640.3402525778</v>
      </c>
      <c r="N127" s="1002">
        <f t="shared" ref="N127" si="27">SUM(N106:N126)</f>
        <v>4100765.9628068446</v>
      </c>
      <c r="O127" s="1002">
        <f t="shared" ref="O127" si="28">SUM(O106:O126)</f>
        <v>4239051.871127543</v>
      </c>
      <c r="P127" s="1002">
        <f t="shared" ref="P127" si="29">SUM(P106:P126)</f>
        <v>4374532.0861432748</v>
      </c>
      <c r="Q127" s="1002">
        <f t="shared" ref="Q127" si="30">SUM(Q106:Q126)</f>
        <v>535.80987647764948</v>
      </c>
      <c r="R127" s="1002">
        <f t="shared" ref="R127" si="31">SUM(R106:R126)</f>
        <v>550.73408041993616</v>
      </c>
      <c r="S127" s="1002">
        <f t="shared" ref="S127" si="32">SUM(S106:S126)</f>
        <v>569.30591876545031</v>
      </c>
      <c r="T127" s="1002">
        <f t="shared" ref="T127" si="33">SUM(T106:T126)</f>
        <v>587.50095167113545</v>
      </c>
      <c r="V127" s="879" t="s">
        <v>351</v>
      </c>
      <c r="W127" s="1007">
        <v>691.95551521349716</v>
      </c>
      <c r="X127" s="1007">
        <v>709.87862795918238</v>
      </c>
      <c r="Y127" s="1007">
        <v>733.176395857952</v>
      </c>
      <c r="Z127" s="1007">
        <v>755.95143548206693</v>
      </c>
      <c r="AB127" s="857" t="s">
        <v>351</v>
      </c>
      <c r="AC127" s="857">
        <v>3989640.3402525778</v>
      </c>
      <c r="AD127" s="857">
        <v>4100765.9628068446</v>
      </c>
      <c r="AE127" s="857">
        <v>4239051.871127543</v>
      </c>
      <c r="AF127" s="857">
        <v>4374532.0861432748</v>
      </c>
    </row>
    <row r="131" spans="2:26" ht="15" customHeight="1" x14ac:dyDescent="0.3">
      <c r="C131" s="1213" t="s">
        <v>1526</v>
      </c>
      <c r="D131" s="1213"/>
      <c r="E131" s="1213"/>
      <c r="F131" s="1213"/>
      <c r="G131" s="1213" t="s">
        <v>1525</v>
      </c>
      <c r="H131" s="1213"/>
      <c r="I131" s="1213"/>
      <c r="J131" s="1213"/>
      <c r="M131" s="1213" t="s">
        <v>1523</v>
      </c>
      <c r="N131" s="1213"/>
      <c r="O131" s="1213"/>
      <c r="P131" s="1213"/>
      <c r="Q131" s="1213" t="s">
        <v>174</v>
      </c>
      <c r="R131" s="1213"/>
      <c r="S131" s="1213"/>
      <c r="T131" s="1213"/>
      <c r="W131" s="1213" t="s">
        <v>1529</v>
      </c>
      <c r="X131" s="1213"/>
      <c r="Y131" s="1213"/>
      <c r="Z131" s="1213"/>
    </row>
    <row r="132" spans="2:26" x14ac:dyDescent="0.3">
      <c r="B132" s="885" t="s">
        <v>322</v>
      </c>
      <c r="C132" s="994">
        <v>2010</v>
      </c>
      <c r="D132" s="994">
        <v>2015</v>
      </c>
      <c r="E132" s="994">
        <v>2020</v>
      </c>
      <c r="F132" s="994">
        <v>2025</v>
      </c>
      <c r="G132" s="994">
        <v>2010</v>
      </c>
      <c r="H132" s="994">
        <v>2015</v>
      </c>
      <c r="I132" s="994">
        <v>2020</v>
      </c>
      <c r="J132" s="994">
        <v>2025</v>
      </c>
      <c r="L132" s="885" t="s">
        <v>322</v>
      </c>
      <c r="M132" s="994">
        <v>2010</v>
      </c>
      <c r="N132" s="994">
        <v>2015</v>
      </c>
      <c r="O132" s="994">
        <v>2020</v>
      </c>
      <c r="P132" s="994">
        <v>2025</v>
      </c>
      <c r="Q132" s="994">
        <v>2010</v>
      </c>
      <c r="R132" s="994">
        <v>2015</v>
      </c>
      <c r="S132" s="994">
        <v>2020</v>
      </c>
      <c r="T132" s="994">
        <v>2025</v>
      </c>
      <c r="V132" s="885" t="s">
        <v>322</v>
      </c>
      <c r="W132" s="994">
        <v>2010</v>
      </c>
      <c r="X132" s="994">
        <v>2015</v>
      </c>
      <c r="Y132" s="994">
        <v>2020</v>
      </c>
      <c r="Z132" s="994">
        <v>2025</v>
      </c>
    </row>
    <row r="133" spans="2:26" x14ac:dyDescent="0.3">
      <c r="B133" s="860" t="s">
        <v>403</v>
      </c>
      <c r="C133" s="1002">
        <v>8106288.3442915091</v>
      </c>
      <c r="D133" s="1002">
        <v>8357509.7630021544</v>
      </c>
      <c r="E133" s="1002">
        <v>8625762.9396131895</v>
      </c>
      <c r="F133" s="1002">
        <v>8927309.4206338152</v>
      </c>
      <c r="G133" s="1004">
        <f>C133/1.11266</f>
        <v>7285503.5179583244</v>
      </c>
      <c r="H133" s="1004">
        <f t="shared" ref="H133:H153" si="34">D133/1.11266</f>
        <v>7511288.0511586238</v>
      </c>
      <c r="I133" s="1004">
        <f t="shared" ref="I133:I153" si="35">E133/1.11266</f>
        <v>7752379.8281713994</v>
      </c>
      <c r="J133" s="1004">
        <f t="shared" ref="J133:J153" si="36">F133/1.11266</f>
        <v>8023393.8675191123</v>
      </c>
      <c r="L133" s="860" t="s">
        <v>403</v>
      </c>
      <c r="M133" s="1002">
        <v>64579.961697566614</v>
      </c>
      <c r="N133" s="1002">
        <v>66064.36811633686</v>
      </c>
      <c r="O133" s="1002">
        <v>68220.0672280695</v>
      </c>
      <c r="P133" s="1002">
        <v>70613.494636249699</v>
      </c>
      <c r="Q133" s="1004">
        <f>M133/8760/0.85</f>
        <v>8.6731079368206583</v>
      </c>
      <c r="R133" s="1004">
        <f t="shared" ref="R133:R153" si="37">N133/8760/0.85</f>
        <v>8.8724641574451866</v>
      </c>
      <c r="S133" s="1004">
        <f t="shared" ref="S133:S153" si="38">O133/8760/0.85</f>
        <v>9.161975185075141</v>
      </c>
      <c r="T133" s="1004">
        <f t="shared" ref="T133:T153" si="39">P133/8760/0.85</f>
        <v>9.4834131931573609</v>
      </c>
      <c r="V133" s="860" t="s">
        <v>403</v>
      </c>
      <c r="W133" s="1005">
        <f>G133+G160+C186</f>
        <v>11927619.738679294</v>
      </c>
      <c r="X133" s="1005">
        <f t="shared" ref="X133" si="40">H133+H160+D186</f>
        <v>12259836.627556968</v>
      </c>
      <c r="Y133" s="1005">
        <f t="shared" ref="Y133:Y153" si="41">I133+I160+E186</f>
        <v>12654639.114391109</v>
      </c>
      <c r="Z133" s="1005">
        <f t="shared" ref="Z133:Z153" si="42">J133+J160+F186</f>
        <v>13096266.444935665</v>
      </c>
    </row>
    <row r="134" spans="2:26" x14ac:dyDescent="0.3">
      <c r="B134" s="863" t="s">
        <v>325</v>
      </c>
      <c r="C134" s="1002">
        <v>13588884.863812806</v>
      </c>
      <c r="D134" s="1002">
        <v>13917288.865713481</v>
      </c>
      <c r="E134" s="1002">
        <v>14279711.44819073</v>
      </c>
      <c r="F134" s="1002">
        <v>14661408.492092568</v>
      </c>
      <c r="G134" s="1004">
        <f t="shared" ref="G134:G153" si="43">C134/1.11266</f>
        <v>12212971.495167263</v>
      </c>
      <c r="H134" s="1004">
        <f t="shared" si="34"/>
        <v>12508123.654767387</v>
      </c>
      <c r="I134" s="1004">
        <f t="shared" si="35"/>
        <v>12833849.916587934</v>
      </c>
      <c r="J134" s="1004">
        <f t="shared" si="36"/>
        <v>13176899.045613727</v>
      </c>
      <c r="L134" s="863" t="s">
        <v>325</v>
      </c>
      <c r="M134" s="1002">
        <v>112949.87779457381</v>
      </c>
      <c r="N134" s="1002">
        <v>113667.84689730252</v>
      </c>
      <c r="O134" s="1002">
        <v>114585.7055638529</v>
      </c>
      <c r="P134" s="1002">
        <v>115536.53418672501</v>
      </c>
      <c r="Q134" s="1004">
        <f t="shared" ref="Q134:Q153" si="44">M134/8760/0.85</f>
        <v>15.169201960055576</v>
      </c>
      <c r="R134" s="1004">
        <f t="shared" si="37"/>
        <v>15.265625422683657</v>
      </c>
      <c r="S134" s="1004">
        <f t="shared" si="38"/>
        <v>15.388894112792494</v>
      </c>
      <c r="T134" s="1004">
        <f t="shared" si="39"/>
        <v>15.516590677776662</v>
      </c>
      <c r="V134" s="863" t="s">
        <v>325</v>
      </c>
      <c r="W134" s="1005">
        <f t="shared" ref="W134:X134" si="45">G134+G161+C187</f>
        <v>20504255.027459841</v>
      </c>
      <c r="X134" s="1005">
        <f t="shared" si="45"/>
        <v>20846775.298969623</v>
      </c>
      <c r="Y134" s="1005">
        <f t="shared" si="41"/>
        <v>21233841.810929827</v>
      </c>
      <c r="Z134" s="1005">
        <f t="shared" si="42"/>
        <v>21639983.784174193</v>
      </c>
    </row>
    <row r="135" spans="2:26" x14ac:dyDescent="0.3">
      <c r="B135" s="863" t="s">
        <v>328</v>
      </c>
      <c r="C135" s="1002">
        <v>12824652.586955145</v>
      </c>
      <c r="D135" s="1002">
        <v>13141292.024394933</v>
      </c>
      <c r="E135" s="1002">
        <v>13524204.646018675</v>
      </c>
      <c r="F135" s="1002">
        <v>13847706.46519899</v>
      </c>
      <c r="G135" s="1004">
        <f t="shared" si="43"/>
        <v>11526119.917095199</v>
      </c>
      <c r="H135" s="1004">
        <f t="shared" si="34"/>
        <v>11810698.707956549</v>
      </c>
      <c r="I135" s="1004">
        <f t="shared" si="35"/>
        <v>12154840.333991224</v>
      </c>
      <c r="J135" s="1004">
        <f t="shared" si="36"/>
        <v>12445586.670859912</v>
      </c>
      <c r="L135" s="863" t="s">
        <v>328</v>
      </c>
      <c r="M135" s="1002">
        <v>117467.47641875423</v>
      </c>
      <c r="N135" s="1002">
        <v>119779.79521920567</v>
      </c>
      <c r="O135" s="1002">
        <v>123747.73323473764</v>
      </c>
      <c r="P135" s="1002">
        <v>126835.34191474416</v>
      </c>
      <c r="Q135" s="1004">
        <f t="shared" si="44"/>
        <v>15.775916790055632</v>
      </c>
      <c r="R135" s="1004">
        <f t="shared" si="37"/>
        <v>16.086461888155476</v>
      </c>
      <c r="S135" s="1004">
        <f t="shared" si="38"/>
        <v>16.619357136010965</v>
      </c>
      <c r="T135" s="1004">
        <f t="shared" si="39"/>
        <v>17.034023894002708</v>
      </c>
      <c r="V135" s="863" t="s">
        <v>328</v>
      </c>
      <c r="W135" s="1005">
        <f t="shared" ref="W135:X135" si="46">G135+G162+C188</f>
        <v>20877340.510647193</v>
      </c>
      <c r="X135" s="1005">
        <f t="shared" si="46"/>
        <v>21326475.089307155</v>
      </c>
      <c r="Y135" s="1005">
        <f t="shared" si="41"/>
        <v>21952623.603871293</v>
      </c>
      <c r="Z135" s="1005">
        <f t="shared" si="42"/>
        <v>22461148.172832694</v>
      </c>
    </row>
    <row r="136" spans="2:26" x14ac:dyDescent="0.3">
      <c r="B136" s="863" t="s">
        <v>331</v>
      </c>
      <c r="C136" s="1002">
        <v>6315077.2966422765</v>
      </c>
      <c r="D136" s="1002">
        <v>6500042.1474991217</v>
      </c>
      <c r="E136" s="1002">
        <v>6770441.3489119913</v>
      </c>
      <c r="F136" s="1002">
        <v>7028656.8659716789</v>
      </c>
      <c r="G136" s="1004">
        <f t="shared" si="43"/>
        <v>5675657.7001440478</v>
      </c>
      <c r="H136" s="1004">
        <f t="shared" si="34"/>
        <v>5841894.3320503319</v>
      </c>
      <c r="I136" s="1004">
        <f t="shared" si="35"/>
        <v>6084914.8427300267</v>
      </c>
      <c r="J136" s="1004">
        <f t="shared" si="36"/>
        <v>6316985.3018637132</v>
      </c>
      <c r="L136" s="863" t="s">
        <v>331</v>
      </c>
      <c r="M136" s="1002">
        <v>20902.044086405127</v>
      </c>
      <c r="N136" s="1002">
        <v>21038.543274858657</v>
      </c>
      <c r="O136" s="1002">
        <v>21431.952559265035</v>
      </c>
      <c r="P136" s="1002">
        <v>21751.072290174357</v>
      </c>
      <c r="Q136" s="1004">
        <f t="shared" si="44"/>
        <v>2.8071506965357407</v>
      </c>
      <c r="R136" s="1004">
        <f t="shared" si="37"/>
        <v>2.8254825778751891</v>
      </c>
      <c r="S136" s="1004">
        <f t="shared" si="38"/>
        <v>2.8783175610079286</v>
      </c>
      <c r="T136" s="1004">
        <f t="shared" si="39"/>
        <v>2.9211754351563735</v>
      </c>
      <c r="V136" s="863" t="s">
        <v>331</v>
      </c>
      <c r="W136" s="1005">
        <f t="shared" ref="W136:X136" si="47">G136+G163+C189</f>
        <v>7419156.9307699017</v>
      </c>
      <c r="X136" s="1005">
        <f t="shared" si="47"/>
        <v>7595960.330441488</v>
      </c>
      <c r="Y136" s="1005">
        <f t="shared" si="41"/>
        <v>7871098.1127152331</v>
      </c>
      <c r="Z136" s="1005">
        <f t="shared" si="42"/>
        <v>8128639.064113291</v>
      </c>
    </row>
    <row r="137" spans="2:26" x14ac:dyDescent="0.3">
      <c r="B137" s="863" t="s">
        <v>333</v>
      </c>
      <c r="C137" s="1002">
        <v>7325813.2157448893</v>
      </c>
      <c r="D137" s="1002">
        <v>7319981.9371362543</v>
      </c>
      <c r="E137" s="1002">
        <v>7400766.8992252899</v>
      </c>
      <c r="F137" s="1002">
        <v>7476379.2281276332</v>
      </c>
      <c r="G137" s="1004">
        <f t="shared" si="43"/>
        <v>6584053.7232801476</v>
      </c>
      <c r="H137" s="1004">
        <f t="shared" si="34"/>
        <v>6578812.8782703197</v>
      </c>
      <c r="I137" s="1004">
        <f t="shared" si="35"/>
        <v>6651418.1324261585</v>
      </c>
      <c r="J137" s="1004">
        <f t="shared" si="36"/>
        <v>6719374.4972656816</v>
      </c>
      <c r="L137" s="863" t="s">
        <v>333</v>
      </c>
      <c r="M137" s="1002">
        <v>46193.433717168577</v>
      </c>
      <c r="N137" s="1002">
        <v>45408.18501060117</v>
      </c>
      <c r="O137" s="1002">
        <v>45237.301536082858</v>
      </c>
      <c r="P137" s="1002">
        <v>45092.668363810553</v>
      </c>
      <c r="Q137" s="1004">
        <f t="shared" si="44"/>
        <v>6.2037917965576925</v>
      </c>
      <c r="R137" s="1004">
        <f t="shared" si="37"/>
        <v>6.0983326632555963</v>
      </c>
      <c r="S137" s="1004">
        <f t="shared" si="38"/>
        <v>6.0753829621384448</v>
      </c>
      <c r="T137" s="1004">
        <f t="shared" si="39"/>
        <v>6.0559586843688633</v>
      </c>
      <c r="V137" s="863" t="s">
        <v>333</v>
      </c>
      <c r="W137" s="1005">
        <f t="shared" ref="W137:X137" si="48">G137+G164+C190</f>
        <v>9866495.0818169005</v>
      </c>
      <c r="X137" s="1005">
        <f t="shared" si="48"/>
        <v>9804863.3794431034</v>
      </c>
      <c r="Y137" s="1005">
        <f t="shared" si="41"/>
        <v>9865209.1929066312</v>
      </c>
      <c r="Z137" s="1005">
        <f t="shared" si="42"/>
        <v>9922647.8378690537</v>
      </c>
    </row>
    <row r="138" spans="2:26" x14ac:dyDescent="0.3">
      <c r="B138" s="863" t="s">
        <v>335</v>
      </c>
      <c r="C138" s="1002">
        <v>7093971.0350300977</v>
      </c>
      <c r="D138" s="1002">
        <v>7271640.8821142167</v>
      </c>
      <c r="E138" s="1002">
        <v>7469600.3088643458</v>
      </c>
      <c r="F138" s="1002">
        <v>7676791.6409815466</v>
      </c>
      <c r="G138" s="1004">
        <f t="shared" si="43"/>
        <v>6375686.2249295367</v>
      </c>
      <c r="H138" s="1004">
        <f t="shared" si="34"/>
        <v>6535366.493011537</v>
      </c>
      <c r="I138" s="1004">
        <f t="shared" si="35"/>
        <v>6713281.9629215989</v>
      </c>
      <c r="J138" s="1004">
        <f t="shared" si="36"/>
        <v>6899494.5814368688</v>
      </c>
      <c r="L138" s="863" t="s">
        <v>335</v>
      </c>
      <c r="M138" s="1002">
        <v>27898.500651327096</v>
      </c>
      <c r="N138" s="1002">
        <v>29121.702589638575</v>
      </c>
      <c r="O138" s="1002">
        <v>30630.120968947114</v>
      </c>
      <c r="P138" s="1002">
        <v>32226.265091062574</v>
      </c>
      <c r="Q138" s="1004">
        <f t="shared" si="44"/>
        <v>3.7467768803823658</v>
      </c>
      <c r="R138" s="1004">
        <f t="shared" si="37"/>
        <v>3.9110532621056375</v>
      </c>
      <c r="S138" s="1004">
        <f t="shared" si="38"/>
        <v>4.1136342961250492</v>
      </c>
      <c r="T138" s="1004">
        <f t="shared" si="39"/>
        <v>4.3279969233229352</v>
      </c>
      <c r="V138" s="863" t="s">
        <v>335</v>
      </c>
      <c r="W138" s="1005">
        <f t="shared" ref="W138:X138" si="49">G138+G165+C191</f>
        <v>8745904.5508553311</v>
      </c>
      <c r="X138" s="1005">
        <f t="shared" si="49"/>
        <v>8986859.7599580362</v>
      </c>
      <c r="Y138" s="1005">
        <f t="shared" si="41"/>
        <v>9265372.2853798978</v>
      </c>
      <c r="Z138" s="1005">
        <f t="shared" si="42"/>
        <v>9557477.4187884629</v>
      </c>
    </row>
    <row r="139" spans="2:26" x14ac:dyDescent="0.3">
      <c r="B139" s="863" t="s">
        <v>336</v>
      </c>
      <c r="C139" s="1002">
        <v>8492463.0528909788</v>
      </c>
      <c r="D139" s="1002">
        <v>8865127.0398128908</v>
      </c>
      <c r="E139" s="1002">
        <v>9281598.5960752796</v>
      </c>
      <c r="F139" s="1002">
        <v>9727460.9928225465</v>
      </c>
      <c r="G139" s="1004">
        <f t="shared" si="43"/>
        <v>7632576.9353539972</v>
      </c>
      <c r="H139" s="1004">
        <f t="shared" si="34"/>
        <v>7967507.6301951101</v>
      </c>
      <c r="I139" s="1004">
        <f t="shared" si="35"/>
        <v>8341810.2529751044</v>
      </c>
      <c r="J139" s="1004">
        <f t="shared" si="36"/>
        <v>8742527.8097734675</v>
      </c>
      <c r="L139" s="863" t="s">
        <v>336</v>
      </c>
      <c r="M139" s="1002">
        <v>104307.49328845002</v>
      </c>
      <c r="N139" s="1002">
        <v>108004.92952460817</v>
      </c>
      <c r="O139" s="1002">
        <v>112233.18324940675</v>
      </c>
      <c r="P139" s="1002">
        <v>116848.63885229058</v>
      </c>
      <c r="Q139" s="1004">
        <f t="shared" si="44"/>
        <v>14.008527167398604</v>
      </c>
      <c r="R139" s="1004">
        <f t="shared" si="37"/>
        <v>14.505093946361562</v>
      </c>
      <c r="S139" s="1004">
        <f t="shared" si="38"/>
        <v>15.072949670884602</v>
      </c>
      <c r="T139" s="1004">
        <f t="shared" si="39"/>
        <v>15.692806722037412</v>
      </c>
      <c r="V139" s="863" t="s">
        <v>336</v>
      </c>
      <c r="W139" s="1005">
        <f t="shared" ref="W139:X139" si="50">G139+G166+C192</f>
        <v>15099257.894009283</v>
      </c>
      <c r="X139" s="1005">
        <f t="shared" si="50"/>
        <v>15665335.915765081</v>
      </c>
      <c r="Y139" s="1005">
        <f t="shared" si="41"/>
        <v>16305606.570839643</v>
      </c>
      <c r="Z139" s="1005">
        <f t="shared" si="42"/>
        <v>16996514.950591002</v>
      </c>
    </row>
    <row r="140" spans="2:26" x14ac:dyDescent="0.3">
      <c r="B140" s="863" t="s">
        <v>337</v>
      </c>
      <c r="C140" s="1002">
        <v>5376946.5274374168</v>
      </c>
      <c r="D140" s="1002">
        <v>5694020.0803620117</v>
      </c>
      <c r="E140" s="1002">
        <v>6050120.409151691</v>
      </c>
      <c r="F140" s="1002">
        <v>6440588.8255305747</v>
      </c>
      <c r="G140" s="1004">
        <f t="shared" si="43"/>
        <v>4832515.3482981473</v>
      </c>
      <c r="H140" s="1004">
        <f t="shared" si="34"/>
        <v>5117484.2992127081</v>
      </c>
      <c r="I140" s="1004">
        <f t="shared" si="35"/>
        <v>5437528.4535722425</v>
      </c>
      <c r="J140" s="1004">
        <f t="shared" si="36"/>
        <v>5788460.8285824731</v>
      </c>
      <c r="L140" s="863" t="s">
        <v>337</v>
      </c>
      <c r="M140" s="1002">
        <v>164053.02777536327</v>
      </c>
      <c r="N140" s="1002">
        <v>169601.59701693332</v>
      </c>
      <c r="O140" s="1002">
        <v>178460.51205446289</v>
      </c>
      <c r="P140" s="1002">
        <v>187827.82790764002</v>
      </c>
      <c r="Q140" s="1004">
        <f t="shared" si="44"/>
        <v>22.032370101445508</v>
      </c>
      <c r="R140" s="1004">
        <f t="shared" si="37"/>
        <v>22.777544589972244</v>
      </c>
      <c r="S140" s="1004">
        <f t="shared" si="38"/>
        <v>23.967299496973261</v>
      </c>
      <c r="T140" s="1004">
        <f t="shared" si="39"/>
        <v>25.225332783728181</v>
      </c>
      <c r="V140" s="863" t="s">
        <v>337</v>
      </c>
      <c r="W140" s="1005">
        <f t="shared" ref="W140:X140" si="51">G140+G167+C193</f>
        <v>16857843.326677311</v>
      </c>
      <c r="X140" s="1005">
        <f t="shared" si="51"/>
        <v>17531078.065993767</v>
      </c>
      <c r="Y140" s="1005">
        <f t="shared" si="41"/>
        <v>18471876.798794687</v>
      </c>
      <c r="Z140" s="1005">
        <f t="shared" si="42"/>
        <v>19477954.837544903</v>
      </c>
    </row>
    <row r="141" spans="2:26" x14ac:dyDescent="0.3">
      <c r="B141" s="863" t="s">
        <v>338</v>
      </c>
      <c r="C141" s="1002">
        <v>7339147.9655568693</v>
      </c>
      <c r="D141" s="1002">
        <v>7618642.5205186028</v>
      </c>
      <c r="E141" s="1002">
        <v>7926322.9819434825</v>
      </c>
      <c r="F141" s="1002">
        <v>8266160.8461866947</v>
      </c>
      <c r="G141" s="1004">
        <f t="shared" si="43"/>
        <v>6596038.2916226601</v>
      </c>
      <c r="H141" s="1004">
        <f t="shared" si="34"/>
        <v>6847233.2253506035</v>
      </c>
      <c r="I141" s="1004">
        <f t="shared" si="35"/>
        <v>7123760.1620831909</v>
      </c>
      <c r="J141" s="1004">
        <f t="shared" si="36"/>
        <v>7429188.4728368903</v>
      </c>
      <c r="L141" s="863" t="s">
        <v>338</v>
      </c>
      <c r="M141" s="1002">
        <v>25067.119491157093</v>
      </c>
      <c r="N141" s="1002">
        <v>25136.116415962231</v>
      </c>
      <c r="O141" s="1002">
        <v>25232.393981025329</v>
      </c>
      <c r="P141" s="1002">
        <v>25359.453980192669</v>
      </c>
      <c r="Q141" s="1004">
        <f t="shared" si="44"/>
        <v>3.3665215540098168</v>
      </c>
      <c r="R141" s="1004">
        <f t="shared" si="37"/>
        <v>3.3757878613970229</v>
      </c>
      <c r="S141" s="1004">
        <f t="shared" si="38"/>
        <v>3.3887179668312286</v>
      </c>
      <c r="T141" s="1004">
        <f t="shared" si="39"/>
        <v>3.4057821622606324</v>
      </c>
      <c r="V141" s="863" t="s">
        <v>338</v>
      </c>
      <c r="W141" s="1005">
        <f t="shared" ref="W141:X141" si="52">G141+G168+C194</f>
        <v>8625474.3040976543</v>
      </c>
      <c r="X141" s="1005">
        <f t="shared" si="52"/>
        <v>8881522.1390169337</v>
      </c>
      <c r="Y141" s="1005">
        <f t="shared" si="41"/>
        <v>9165008.9169527981</v>
      </c>
      <c r="Z141" s="1005">
        <f t="shared" si="42"/>
        <v>9479790.356382573</v>
      </c>
    </row>
    <row r="142" spans="2:26" x14ac:dyDescent="0.3">
      <c r="B142" s="863" t="s">
        <v>339</v>
      </c>
      <c r="C142" s="1002">
        <v>8148586.5190594615</v>
      </c>
      <c r="D142" s="1002">
        <v>8414061.8918793462</v>
      </c>
      <c r="E142" s="1002">
        <v>8765597.7584325317</v>
      </c>
      <c r="F142" s="1002">
        <v>9118846.0264943298</v>
      </c>
      <c r="G142" s="1004">
        <f t="shared" si="43"/>
        <v>7323518.8818322411</v>
      </c>
      <c r="H142" s="1004">
        <f t="shared" si="34"/>
        <v>7562114.1156142456</v>
      </c>
      <c r="I142" s="1004">
        <f t="shared" si="35"/>
        <v>7878055.9725635247</v>
      </c>
      <c r="J142" s="1004">
        <f t="shared" si="36"/>
        <v>8195536.8454822944</v>
      </c>
      <c r="L142" s="863" t="s">
        <v>339</v>
      </c>
      <c r="M142" s="1002">
        <v>17587.087849588719</v>
      </c>
      <c r="N142" s="1002">
        <v>17674.402088279854</v>
      </c>
      <c r="O142" s="1002">
        <v>17817.90584061934</v>
      </c>
      <c r="P142" s="1002">
        <v>17946.138275070574</v>
      </c>
      <c r="Q142" s="1004">
        <f t="shared" si="44"/>
        <v>2.3619510944921727</v>
      </c>
      <c r="R142" s="1004">
        <f t="shared" si="37"/>
        <v>2.3736774225463142</v>
      </c>
      <c r="S142" s="1004">
        <f t="shared" si="38"/>
        <v>2.3929500188852191</v>
      </c>
      <c r="T142" s="1004">
        <f t="shared" si="39"/>
        <v>2.4101716727196578</v>
      </c>
      <c r="V142" s="863" t="s">
        <v>339</v>
      </c>
      <c r="W142" s="1005">
        <f t="shared" ref="W142:X142" si="53">G142+G169+C195</f>
        <v>8728377.877203377</v>
      </c>
      <c r="X142" s="1005">
        <f t="shared" si="53"/>
        <v>8974837.5018969625</v>
      </c>
      <c r="Y142" s="1005">
        <f t="shared" si="41"/>
        <v>9303627.4128658399</v>
      </c>
      <c r="Z142" s="1005">
        <f t="shared" si="42"/>
        <v>9632548.9297613464</v>
      </c>
    </row>
    <row r="143" spans="2:26" x14ac:dyDescent="0.3">
      <c r="B143" s="863" t="s">
        <v>340</v>
      </c>
      <c r="C143" s="1002">
        <v>11007500.837321483</v>
      </c>
      <c r="D143" s="1002">
        <v>11295110.038319204</v>
      </c>
      <c r="E143" s="1002">
        <v>11611285.136725776</v>
      </c>
      <c r="F143" s="1002">
        <v>11978267.448006146</v>
      </c>
      <c r="G143" s="1004">
        <f t="shared" si="43"/>
        <v>9892959.967394786</v>
      </c>
      <c r="H143" s="1004">
        <f t="shared" si="34"/>
        <v>10151447.91609225</v>
      </c>
      <c r="I143" s="1004">
        <f t="shared" si="35"/>
        <v>10435609.383572498</v>
      </c>
      <c r="J143" s="1004">
        <f t="shared" si="36"/>
        <v>10765433.688643562</v>
      </c>
      <c r="L143" s="863" t="s">
        <v>340</v>
      </c>
      <c r="M143" s="1002">
        <v>23725.827848573761</v>
      </c>
      <c r="N143" s="1002">
        <v>24315.61387844017</v>
      </c>
      <c r="O143" s="1002">
        <v>25003.858455075213</v>
      </c>
      <c r="P143" s="1002">
        <v>25815.984753954181</v>
      </c>
      <c r="Q143" s="1004">
        <f t="shared" si="44"/>
        <v>3.1863856901119747</v>
      </c>
      <c r="R143" s="1004">
        <f t="shared" si="37"/>
        <v>3.265594128181597</v>
      </c>
      <c r="S143" s="1004">
        <f t="shared" si="38"/>
        <v>3.3580255781728732</v>
      </c>
      <c r="T143" s="1004">
        <f t="shared" si="39"/>
        <v>3.4670943800636826</v>
      </c>
      <c r="V143" s="863" t="s">
        <v>340</v>
      </c>
      <c r="W143" s="1005">
        <f t="shared" ref="W143:X143" si="54">G143+G170+C196</f>
        <v>11881412.824564323</v>
      </c>
      <c r="X143" s="1005">
        <f t="shared" si="54"/>
        <v>12183415.729680039</v>
      </c>
      <c r="Y143" s="1005">
        <f t="shared" si="41"/>
        <v>12518090.114567863</v>
      </c>
      <c r="Z143" s="1005">
        <f t="shared" si="42"/>
        <v>12907587.769059565</v>
      </c>
    </row>
    <row r="144" spans="2:26" x14ac:dyDescent="0.3">
      <c r="B144" s="863" t="s">
        <v>341</v>
      </c>
      <c r="C144" s="1002">
        <v>13654298.716924591</v>
      </c>
      <c r="D144" s="1002">
        <v>14287623.81735754</v>
      </c>
      <c r="E144" s="1002">
        <v>15064895.268020898</v>
      </c>
      <c r="F144" s="1002">
        <v>15749860.42578385</v>
      </c>
      <c r="G144" s="1004">
        <f t="shared" si="43"/>
        <v>12271762.008991597</v>
      </c>
      <c r="H144" s="1004">
        <f t="shared" si="34"/>
        <v>12840961.135798484</v>
      </c>
      <c r="I144" s="1004">
        <f t="shared" si="35"/>
        <v>13539531.634120844</v>
      </c>
      <c r="J144" s="1004">
        <f t="shared" si="36"/>
        <v>14155142.11509702</v>
      </c>
      <c r="L144" s="863" t="s">
        <v>341</v>
      </c>
      <c r="M144" s="1002">
        <v>94818.285380858899</v>
      </c>
      <c r="N144" s="1002">
        <v>96745.165726799736</v>
      </c>
      <c r="O144" s="1002">
        <v>99901.794798914896</v>
      </c>
      <c r="P144" s="1002">
        <v>102243.70414221192</v>
      </c>
      <c r="Q144" s="1004">
        <f t="shared" si="44"/>
        <v>12.734123741721582</v>
      </c>
      <c r="R144" s="1004">
        <f t="shared" si="37"/>
        <v>12.992904341498756</v>
      </c>
      <c r="S144" s="1004">
        <f t="shared" si="38"/>
        <v>13.4168405585435</v>
      </c>
      <c r="T144" s="1004">
        <f t="shared" si="39"/>
        <v>13.731359675290348</v>
      </c>
      <c r="V144" s="863" t="s">
        <v>341</v>
      </c>
      <c r="W144" s="1005">
        <f t="shared" ref="W144:X144" si="55">G144+G171+C197</f>
        <v>19437526.768037081</v>
      </c>
      <c r="X144" s="1005">
        <f t="shared" si="55"/>
        <v>20148970.866213314</v>
      </c>
      <c r="Y144" s="1005">
        <f t="shared" si="41"/>
        <v>21078831.571926475</v>
      </c>
      <c r="Z144" s="1005">
        <f t="shared" si="42"/>
        <v>21864846.541440148</v>
      </c>
    </row>
    <row r="145" spans="2:28" x14ac:dyDescent="0.3">
      <c r="B145" s="863" t="s">
        <v>342</v>
      </c>
      <c r="C145" s="1002">
        <v>12238952.290727377</v>
      </c>
      <c r="D145" s="1002">
        <v>12658667.357775262</v>
      </c>
      <c r="E145" s="1002">
        <v>13155090.989514437</v>
      </c>
      <c r="F145" s="1002">
        <v>13648200.73195032</v>
      </c>
      <c r="G145" s="1004">
        <f t="shared" si="43"/>
        <v>10999723.447169285</v>
      </c>
      <c r="H145" s="1004">
        <f t="shared" si="34"/>
        <v>11376941.166012315</v>
      </c>
      <c r="I145" s="1004">
        <f t="shared" si="35"/>
        <v>11823100.488482049</v>
      </c>
      <c r="J145" s="1004">
        <f t="shared" si="36"/>
        <v>12266281.462396707</v>
      </c>
      <c r="L145" s="863" t="s">
        <v>342</v>
      </c>
      <c r="M145" s="1002">
        <v>61328.818021257888</v>
      </c>
      <c r="N145" s="1002">
        <v>62092.575293192509</v>
      </c>
      <c r="O145" s="1002">
        <v>63192.363341484437</v>
      </c>
      <c r="P145" s="1002">
        <v>64203.081793824742</v>
      </c>
      <c r="Q145" s="1004">
        <f t="shared" si="44"/>
        <v>8.2364783805073714</v>
      </c>
      <c r="R145" s="1004">
        <f t="shared" si="37"/>
        <v>8.3390512077884118</v>
      </c>
      <c r="S145" s="1004">
        <f t="shared" si="38"/>
        <v>8.4867530676181087</v>
      </c>
      <c r="T145" s="1004">
        <f t="shared" si="39"/>
        <v>8.6224928543949417</v>
      </c>
      <c r="V145" s="863" t="s">
        <v>342</v>
      </c>
      <c r="W145" s="1005">
        <f t="shared" ref="W145:X145" si="56">G145+G172+C198</f>
        <v>15669269.595996255</v>
      </c>
      <c r="X145" s="1005">
        <f t="shared" si="56"/>
        <v>16104693.296107512</v>
      </c>
      <c r="Y145" s="1005">
        <f t="shared" si="41"/>
        <v>16633883.840346329</v>
      </c>
      <c r="Z145" s="1005">
        <f t="shared" si="42"/>
        <v>17153053.01065962</v>
      </c>
    </row>
    <row r="146" spans="2:28" x14ac:dyDescent="0.3">
      <c r="B146" s="863" t="s">
        <v>343</v>
      </c>
      <c r="C146" s="1002">
        <v>9467780.7679612152</v>
      </c>
      <c r="D146" s="1002">
        <v>9756987.7552131657</v>
      </c>
      <c r="E146" s="1002">
        <v>10102160.074584376</v>
      </c>
      <c r="F146" s="1002">
        <v>10457338.361897904</v>
      </c>
      <c r="G146" s="1004">
        <f t="shared" si="43"/>
        <v>8509140.9486826304</v>
      </c>
      <c r="H146" s="1004">
        <f t="shared" si="34"/>
        <v>8769064.9032167643</v>
      </c>
      <c r="I146" s="1004">
        <f t="shared" si="35"/>
        <v>9079287.5402947683</v>
      </c>
      <c r="J146" s="1004">
        <f t="shared" si="36"/>
        <v>9398503.0125086773</v>
      </c>
      <c r="L146" s="863" t="s">
        <v>343</v>
      </c>
      <c r="M146" s="1002">
        <v>50374.560074355191</v>
      </c>
      <c r="N146" s="1002">
        <v>51142.198948553545</v>
      </c>
      <c r="O146" s="1002">
        <v>52358.424899503072</v>
      </c>
      <c r="P146" s="1002">
        <v>53549.874459427374</v>
      </c>
      <c r="Q146" s="1004">
        <f t="shared" si="44"/>
        <v>6.7653183016861655</v>
      </c>
      <c r="R146" s="1004">
        <f t="shared" si="37"/>
        <v>6.8684124292980853</v>
      </c>
      <c r="S146" s="1004">
        <f t="shared" si="38"/>
        <v>7.0317519338575174</v>
      </c>
      <c r="T146" s="1004">
        <f t="shared" si="39"/>
        <v>7.1917639617818123</v>
      </c>
      <c r="V146" s="863" t="s">
        <v>343</v>
      </c>
      <c r="W146" s="1005">
        <f t="shared" ref="W146:X146" si="57">G146+G173+C199</f>
        <v>12240596.037991896</v>
      </c>
      <c r="X146" s="1005">
        <f t="shared" si="57"/>
        <v>12557713.61578647</v>
      </c>
      <c r="Y146" s="1005">
        <f t="shared" si="41"/>
        <v>12957759.900738824</v>
      </c>
      <c r="Z146" s="1005">
        <f t="shared" si="42"/>
        <v>13364637.926583774</v>
      </c>
    </row>
    <row r="147" spans="2:28" x14ac:dyDescent="0.3">
      <c r="B147" s="863" t="s">
        <v>344</v>
      </c>
      <c r="C147" s="1002">
        <v>12591749.534715766</v>
      </c>
      <c r="D147" s="1002">
        <v>13091148.866455751</v>
      </c>
      <c r="E147" s="1002">
        <v>13854940.309372075</v>
      </c>
      <c r="F147" s="1002">
        <v>14567757.682454381</v>
      </c>
      <c r="G147" s="1004">
        <f t="shared" si="43"/>
        <v>11316798.963489085</v>
      </c>
      <c r="H147" s="1004">
        <f t="shared" si="34"/>
        <v>11765632.687843323</v>
      </c>
      <c r="I147" s="1004">
        <f t="shared" si="35"/>
        <v>12452088.067668539</v>
      </c>
      <c r="J147" s="1004">
        <f t="shared" si="36"/>
        <v>13092730.647686068</v>
      </c>
      <c r="L147" s="863" t="s">
        <v>344</v>
      </c>
      <c r="M147" s="1002">
        <v>79558.721953379121</v>
      </c>
      <c r="N147" s="1002">
        <v>81778.968804780379</v>
      </c>
      <c r="O147" s="1002">
        <v>86620.145213721058</v>
      </c>
      <c r="P147" s="1002">
        <v>91001.026515745296</v>
      </c>
      <c r="Q147" s="1004">
        <f t="shared" si="44"/>
        <v>10.68475986481052</v>
      </c>
      <c r="R147" s="1004">
        <f t="shared" si="37"/>
        <v>10.982939672949286</v>
      </c>
      <c r="S147" s="1004">
        <f t="shared" si="38"/>
        <v>11.633111095047147</v>
      </c>
      <c r="T147" s="1004">
        <f t="shared" si="39"/>
        <v>12.221464748287039</v>
      </c>
      <c r="V147" s="863" t="s">
        <v>344</v>
      </c>
      <c r="W147" s="1005">
        <f t="shared" ref="W147:X147" si="58">G147+G174+C200</f>
        <v>17137000.133997668</v>
      </c>
      <c r="X147" s="1005">
        <f t="shared" si="58"/>
        <v>17750290.269561056</v>
      </c>
      <c r="Y147" s="1005">
        <f t="shared" si="41"/>
        <v>18791895.098461173</v>
      </c>
      <c r="Z147" s="1005">
        <f t="shared" si="42"/>
        <v>19752945.383793734</v>
      </c>
    </row>
    <row r="148" spans="2:28" x14ac:dyDescent="0.3">
      <c r="B148" s="863" t="s">
        <v>345</v>
      </c>
      <c r="C148" s="1002">
        <v>7847672.2157646706</v>
      </c>
      <c r="D148" s="1002">
        <v>8016631.9325270522</v>
      </c>
      <c r="E148" s="1002">
        <v>8198078.3385052271</v>
      </c>
      <c r="F148" s="1002">
        <v>8401628.8120817691</v>
      </c>
      <c r="G148" s="1004">
        <f t="shared" si="43"/>
        <v>7053073.01041169</v>
      </c>
      <c r="H148" s="1004">
        <f t="shared" si="34"/>
        <v>7204925.0737215793</v>
      </c>
      <c r="I148" s="1004">
        <f t="shared" si="35"/>
        <v>7367999.5133331185</v>
      </c>
      <c r="J148" s="1004">
        <f t="shared" si="36"/>
        <v>7550939.9206242422</v>
      </c>
      <c r="L148" s="863" t="s">
        <v>345</v>
      </c>
      <c r="M148" s="1002">
        <v>21096.488064718382</v>
      </c>
      <c r="N148" s="1002">
        <v>21486.901633659818</v>
      </c>
      <c r="O148" s="1002">
        <v>21917.074459053802</v>
      </c>
      <c r="P148" s="1002">
        <v>22415.680795305219</v>
      </c>
      <c r="Q148" s="1004">
        <f t="shared" si="44"/>
        <v>2.8332645802737551</v>
      </c>
      <c r="R148" s="1004">
        <f t="shared" si="37"/>
        <v>2.885697237934437</v>
      </c>
      <c r="S148" s="1004">
        <f t="shared" si="38"/>
        <v>2.9434695754839915</v>
      </c>
      <c r="T148" s="1004">
        <f t="shared" si="39"/>
        <v>3.0104325537611092</v>
      </c>
      <c r="V148" s="863" t="s">
        <v>345</v>
      </c>
      <c r="W148" s="1005">
        <f t="shared" ref="W148:X148" si="59">G148+G175+C201</f>
        <v>8700807.5321963057</v>
      </c>
      <c r="X148" s="1005">
        <f t="shared" si="59"/>
        <v>8877871.6827402133</v>
      </c>
      <c r="Y148" s="1005">
        <f t="shared" si="41"/>
        <v>9068724.4929481</v>
      </c>
      <c r="Z148" s="1005">
        <f t="shared" si="42"/>
        <v>9284199.5246065296</v>
      </c>
    </row>
    <row r="149" spans="2:28" x14ac:dyDescent="0.3">
      <c r="B149" s="863" t="s">
        <v>346</v>
      </c>
      <c r="C149" s="1002">
        <v>5563212.4412855804</v>
      </c>
      <c r="D149" s="1002">
        <v>5616617.2775544627</v>
      </c>
      <c r="E149" s="1002">
        <v>5673072.8977079038</v>
      </c>
      <c r="F149" s="1002">
        <v>5735098.8563744072</v>
      </c>
      <c r="G149" s="1004">
        <f t="shared" si="43"/>
        <v>4999921.306855266</v>
      </c>
      <c r="H149" s="1004">
        <f t="shared" si="34"/>
        <v>5047918.7510600388</v>
      </c>
      <c r="I149" s="1004">
        <f t="shared" si="35"/>
        <v>5098658.0785755794</v>
      </c>
      <c r="J149" s="1004">
        <f t="shared" si="36"/>
        <v>5154403.7319346499</v>
      </c>
      <c r="L149" s="863" t="s">
        <v>346</v>
      </c>
      <c r="M149" s="1002">
        <v>31635.528604989602</v>
      </c>
      <c r="N149" s="1002">
        <v>31714.570520944599</v>
      </c>
      <c r="O149" s="1002">
        <v>31837.632126135071</v>
      </c>
      <c r="P149" s="1002">
        <v>31984.218593659352</v>
      </c>
      <c r="Q149" s="1004">
        <f t="shared" si="44"/>
        <v>4.2486608387039491</v>
      </c>
      <c r="R149" s="1004">
        <f t="shared" si="37"/>
        <v>4.2592761913704811</v>
      </c>
      <c r="S149" s="1004">
        <f t="shared" si="38"/>
        <v>4.2758034013074226</v>
      </c>
      <c r="T149" s="1004">
        <f t="shared" si="39"/>
        <v>4.2954900072064675</v>
      </c>
      <c r="V149" s="863" t="s">
        <v>346</v>
      </c>
      <c r="W149" s="1005">
        <f t="shared" ref="W149:X149" si="60">G149+G176+C202</f>
        <v>8203056.8025164902</v>
      </c>
      <c r="X149" s="1005">
        <f t="shared" si="60"/>
        <v>8256839.6801718231</v>
      </c>
      <c r="Y149" s="1005">
        <f t="shared" si="41"/>
        <v>8316470.2179524023</v>
      </c>
      <c r="Z149" s="1005">
        <f t="shared" si="42"/>
        <v>8382807.6127079781</v>
      </c>
    </row>
    <row r="150" spans="2:28" x14ac:dyDescent="0.3">
      <c r="B150" s="863" t="s">
        <v>347</v>
      </c>
      <c r="C150" s="1002">
        <v>3934252.1561054769</v>
      </c>
      <c r="D150" s="1002">
        <v>4064220.6212022007</v>
      </c>
      <c r="E150" s="1002">
        <v>4232151.8958622059</v>
      </c>
      <c r="F150" s="1002">
        <v>4373394.6824529255</v>
      </c>
      <c r="G150" s="1004">
        <f t="shared" si="43"/>
        <v>3535897.8988239686</v>
      </c>
      <c r="H150" s="1004">
        <f t="shared" si="34"/>
        <v>3652706.6859617499</v>
      </c>
      <c r="I150" s="1004">
        <f t="shared" si="35"/>
        <v>3803634.439866811</v>
      </c>
      <c r="J150" s="1004">
        <f t="shared" si="36"/>
        <v>3930575.9912757943</v>
      </c>
      <c r="L150" s="863" t="s">
        <v>347</v>
      </c>
      <c r="M150" s="1002">
        <v>18649.284533687991</v>
      </c>
      <c r="N150" s="1002">
        <v>19146.638987581478</v>
      </c>
      <c r="O150" s="1002">
        <v>19842.576410717826</v>
      </c>
      <c r="P150" s="1002">
        <v>20380.134551619387</v>
      </c>
      <c r="Q150" s="1004">
        <f t="shared" si="44"/>
        <v>2.5046044230040279</v>
      </c>
      <c r="R150" s="1004">
        <f t="shared" si="37"/>
        <v>2.5713992731105937</v>
      </c>
      <c r="S150" s="1004">
        <f t="shared" si="38"/>
        <v>2.664863874659928</v>
      </c>
      <c r="T150" s="1004">
        <f t="shared" si="39"/>
        <v>2.7370580918102854</v>
      </c>
      <c r="V150" s="863" t="s">
        <v>347</v>
      </c>
      <c r="W150" s="1005">
        <f t="shared" ref="W150:X150" si="61">G150+G177+C203</f>
        <v>4997118.7511682957</v>
      </c>
      <c r="X150" s="1005">
        <f t="shared" si="61"/>
        <v>5153800.0264580343</v>
      </c>
      <c r="Y150" s="1005">
        <f t="shared" si="41"/>
        <v>5360183.9621618614</v>
      </c>
      <c r="Z150" s="1005">
        <f t="shared" si="42"/>
        <v>5529725.3741212599</v>
      </c>
    </row>
    <row r="151" spans="2:28" x14ac:dyDescent="0.3">
      <c r="B151" s="863" t="s">
        <v>348</v>
      </c>
      <c r="C151" s="1002">
        <v>6640531.2545250673</v>
      </c>
      <c r="D151" s="1002">
        <v>6727737.0145277902</v>
      </c>
      <c r="E151" s="1002">
        <v>6837552.6060180273</v>
      </c>
      <c r="F151" s="1002">
        <v>6918085.156413896</v>
      </c>
      <c r="G151" s="1004">
        <f t="shared" si="43"/>
        <v>5968158.5161011154</v>
      </c>
      <c r="H151" s="1004">
        <f t="shared" si="34"/>
        <v>6046534.4440599913</v>
      </c>
      <c r="I151" s="1004">
        <f t="shared" si="35"/>
        <v>6145230.8935506148</v>
      </c>
      <c r="J151" s="1004">
        <f t="shared" si="36"/>
        <v>6217609.2934174826</v>
      </c>
      <c r="L151" s="863" t="s">
        <v>348</v>
      </c>
      <c r="M151" s="1002">
        <v>21441.949946787721</v>
      </c>
      <c r="N151" s="1002">
        <v>21593.443476988632</v>
      </c>
      <c r="O151" s="1002">
        <v>21807.238685563272</v>
      </c>
      <c r="P151" s="1002">
        <v>21933.313477535703</v>
      </c>
      <c r="Q151" s="1004">
        <f t="shared" si="44"/>
        <v>2.8796602131060598</v>
      </c>
      <c r="R151" s="1004">
        <f t="shared" si="37"/>
        <v>2.9000058389724193</v>
      </c>
      <c r="S151" s="1004">
        <f t="shared" si="38"/>
        <v>2.9287185986520647</v>
      </c>
      <c r="T151" s="1004">
        <f t="shared" si="39"/>
        <v>2.9456504804641019</v>
      </c>
      <c r="V151" s="863" t="s">
        <v>348</v>
      </c>
      <c r="W151" s="1005">
        <f t="shared" ref="W151:X151" si="62">G151+G178+C204</f>
        <v>7414507.1534345131</v>
      </c>
      <c r="X151" s="1005">
        <f t="shared" si="62"/>
        <v>7505258.7611688599</v>
      </c>
      <c r="Y151" s="1005">
        <f t="shared" si="41"/>
        <v>7621360.3378586583</v>
      </c>
      <c r="Z151" s="1005">
        <f t="shared" si="42"/>
        <v>7703630.6897009406</v>
      </c>
    </row>
    <row r="152" spans="2:28" x14ac:dyDescent="0.3">
      <c r="B152" s="863" t="s">
        <v>349</v>
      </c>
      <c r="C152" s="1002">
        <v>4756359.3007935211</v>
      </c>
      <c r="D152" s="1002">
        <v>4911001.4095966052</v>
      </c>
      <c r="E152" s="1002">
        <v>5080776.3990684003</v>
      </c>
      <c r="F152" s="1002">
        <v>5266917.3392260866</v>
      </c>
      <c r="G152" s="1004">
        <f t="shared" si="43"/>
        <v>4274764.3492113687</v>
      </c>
      <c r="H152" s="1004">
        <f t="shared" si="34"/>
        <v>4413748.5032234509</v>
      </c>
      <c r="I152" s="1004">
        <f t="shared" si="35"/>
        <v>4566333.2905545272</v>
      </c>
      <c r="J152" s="1004">
        <f t="shared" si="36"/>
        <v>4733626.9293639446</v>
      </c>
      <c r="L152" s="863" t="s">
        <v>349</v>
      </c>
      <c r="M152" s="1002">
        <v>28569.013520082284</v>
      </c>
      <c r="N152" s="1002">
        <v>28747.839053341268</v>
      </c>
      <c r="O152" s="1002">
        <v>28983.184605121347</v>
      </c>
      <c r="P152" s="1002">
        <v>29273.050670459517</v>
      </c>
      <c r="Q152" s="1004">
        <f t="shared" si="44"/>
        <v>3.8368269567663558</v>
      </c>
      <c r="R152" s="1004">
        <f t="shared" si="37"/>
        <v>3.8608432787189457</v>
      </c>
      <c r="S152" s="1004">
        <f t="shared" si="38"/>
        <v>3.89245025585836</v>
      </c>
      <c r="T152" s="1004">
        <f t="shared" si="39"/>
        <v>3.9313793540772926</v>
      </c>
      <c r="V152" s="863" t="s">
        <v>349</v>
      </c>
      <c r="W152" s="1005">
        <f t="shared" ref="W152:X152" si="63">G152+G179+C205</f>
        <v>6580593.8660675688</v>
      </c>
      <c r="X152" s="1005">
        <f t="shared" si="63"/>
        <v>6731526.5465739751</v>
      </c>
      <c r="Y152" s="1005">
        <f t="shared" si="41"/>
        <v>6900325.673293205</v>
      </c>
      <c r="Z152" s="1005">
        <f t="shared" si="42"/>
        <v>7087942.7216851581</v>
      </c>
    </row>
    <row r="153" spans="2:28" ht="15" thickBot="1" x14ac:dyDescent="0.35">
      <c r="B153" s="877" t="s">
        <v>350</v>
      </c>
      <c r="C153" s="1002">
        <v>6469689.6868498456</v>
      </c>
      <c r="D153" s="1002">
        <v>6540448.9743249267</v>
      </c>
      <c r="E153" s="1002">
        <v>6619680.6139313187</v>
      </c>
      <c r="F153" s="1002">
        <v>6692390.0410001092</v>
      </c>
      <c r="G153" s="1004">
        <f t="shared" si="43"/>
        <v>5814615.1446532141</v>
      </c>
      <c r="H153" s="1004">
        <f t="shared" si="34"/>
        <v>5878209.8523582472</v>
      </c>
      <c r="I153" s="1004">
        <f t="shared" si="35"/>
        <v>5949419.0623652497</v>
      </c>
      <c r="J153" s="1004">
        <f t="shared" si="36"/>
        <v>6014766.4524653619</v>
      </c>
      <c r="L153" s="877" t="s">
        <v>350</v>
      </c>
      <c r="M153" s="1002">
        <v>30455.925308076952</v>
      </c>
      <c r="N153" s="1002">
        <v>30728.898499220122</v>
      </c>
      <c r="O153" s="1002">
        <v>31118.403219009386</v>
      </c>
      <c r="P153" s="1002">
        <v>31444.797204494098</v>
      </c>
      <c r="Q153" s="1004">
        <f t="shared" si="44"/>
        <v>4.0902397674022231</v>
      </c>
      <c r="R153" s="1004">
        <f t="shared" si="37"/>
        <v>4.1269001476255873</v>
      </c>
      <c r="S153" s="1004">
        <f t="shared" si="38"/>
        <v>4.1792107465766035</v>
      </c>
      <c r="T153" s="1004">
        <f t="shared" si="39"/>
        <v>4.2230455552637789</v>
      </c>
      <c r="V153" s="877" t="s">
        <v>350</v>
      </c>
      <c r="W153" s="1005">
        <f t="shared" ref="W153:X153" si="64">G153+G180+C206</f>
        <v>8067633.6644707713</v>
      </c>
      <c r="X153" s="1005">
        <f t="shared" si="64"/>
        <v>8152154.6386357872</v>
      </c>
      <c r="Y153" s="1005">
        <f t="shared" si="41"/>
        <v>8252611.71542479</v>
      </c>
      <c r="Z153" s="1005">
        <f t="shared" si="42"/>
        <v>8342036.2546699056</v>
      </c>
    </row>
    <row r="154" spans="2:28" ht="15" thickTop="1" x14ac:dyDescent="0.3">
      <c r="B154" s="879" t="s">
        <v>351</v>
      </c>
      <c r="C154" s="1002">
        <f>SUM(C133:C153)</f>
        <v>178783830.61039606</v>
      </c>
      <c r="D154" s="1002">
        <f t="shared" ref="D154" si="65">SUM(D133:D153)</f>
        <v>184065802.21728694</v>
      </c>
      <c r="E154" s="1002">
        <f t="shared" ref="E154" si="66">SUM(E133:E153)</f>
        <v>190523811.86573789</v>
      </c>
      <c r="F154" s="1002">
        <f t="shared" ref="F154" si="67">SUM(F133:F153)</f>
        <v>196960248.34168214</v>
      </c>
      <c r="G154" s="1002">
        <f t="shared" ref="G154" si="68">SUM(G133:G153)</f>
        <v>160681457.59746557</v>
      </c>
      <c r="H154" s="1002">
        <f t="shared" ref="H154" si="69">SUM(H133:H153)</f>
        <v>165428614.50693563</v>
      </c>
      <c r="I154" s="1002">
        <f t="shared" ref="I154" si="70">SUM(I133:I153)</f>
        <v>171232732.25040698</v>
      </c>
      <c r="J154" s="1002">
        <f t="shared" ref="J154" si="71">SUM(J133:J153)</f>
        <v>177017461.16664764</v>
      </c>
      <c r="L154" s="879" t="s">
        <v>351</v>
      </c>
      <c r="M154" s="1002">
        <f t="shared" ref="M154:P154" si="72">SUM(M133:M153)</f>
        <v>1162660.4260271224</v>
      </c>
      <c r="N154" s="1002">
        <f t="shared" si="72"/>
        <v>1184990.3009772294</v>
      </c>
      <c r="O154" s="1002">
        <f t="shared" si="72"/>
        <v>1220179.5724307685</v>
      </c>
      <c r="P154" s="1002">
        <f t="shared" si="72"/>
        <v>1254282.3024561969</v>
      </c>
      <c r="Q154" s="1002">
        <f t="shared" ref="Q154" si="73">SUM(Q133:Q153)</f>
        <v>156.14563873584774</v>
      </c>
      <c r="R154" s="1002">
        <f t="shared" ref="R154" si="74">SUM(R133:R153)</f>
        <v>159.1445475392465</v>
      </c>
      <c r="S154" s="1002">
        <f t="shared" ref="S154" si="75">SUM(S133:S153)</f>
        <v>163.87047709250183</v>
      </c>
      <c r="T154" s="1002">
        <f t="shared" ref="T154" si="76">SUM(T133:T153)</f>
        <v>168.45048381093167</v>
      </c>
      <c r="V154" s="879" t="s">
        <v>351</v>
      </c>
      <c r="W154" s="1002">
        <f t="shared" ref="W154" si="77">SUM(W133:W153)</f>
        <v>248981248.37265724</v>
      </c>
      <c r="X154" s="1002">
        <f t="shared" ref="X154" si="78">SUM(X133:X153)</f>
        <v>255296079.22144619</v>
      </c>
      <c r="Y154" s="1002">
        <f t="shared" ref="Y154" si="79">SUM(Y133:Y153)</f>
        <v>263589040.7453267</v>
      </c>
      <c r="Z154" s="1002">
        <f t="shared" ref="Z154" si="80">SUM(Z133:Z153)</f>
        <v>271766384.60602176</v>
      </c>
    </row>
    <row r="158" spans="2:28" ht="15" customHeight="1" x14ac:dyDescent="0.3">
      <c r="C158" s="1213" t="s">
        <v>1527</v>
      </c>
      <c r="D158" s="1213"/>
      <c r="E158" s="1213"/>
      <c r="F158" s="1213"/>
      <c r="G158" s="1213" t="s">
        <v>1525</v>
      </c>
      <c r="H158" s="1213"/>
      <c r="I158" s="1213"/>
      <c r="J158" s="1213"/>
      <c r="M158" s="1213" t="s">
        <v>1530</v>
      </c>
      <c r="N158" s="1213"/>
      <c r="O158" s="1213"/>
      <c r="P158" s="1213"/>
      <c r="S158" s="1213" t="s">
        <v>1531</v>
      </c>
      <c r="T158" s="1213"/>
      <c r="U158" s="1213"/>
      <c r="V158" s="1213"/>
      <c r="Y158" s="1214" t="s">
        <v>1532</v>
      </c>
      <c r="Z158" s="1215"/>
      <c r="AA158" s="1215"/>
      <c r="AB158" s="1216"/>
    </row>
    <row r="159" spans="2:28" x14ac:dyDescent="0.3">
      <c r="B159" s="885" t="s">
        <v>322</v>
      </c>
      <c r="C159" s="994">
        <v>2010</v>
      </c>
      <c r="D159" s="994">
        <v>2015</v>
      </c>
      <c r="E159" s="994">
        <v>2020</v>
      </c>
      <c r="F159" s="994">
        <v>2025</v>
      </c>
      <c r="G159" s="994">
        <v>2010</v>
      </c>
      <c r="H159" s="994">
        <v>2015</v>
      </c>
      <c r="I159" s="994">
        <v>2020</v>
      </c>
      <c r="J159" s="994">
        <v>2025</v>
      </c>
      <c r="L159" s="885" t="s">
        <v>322</v>
      </c>
      <c r="M159" s="1001">
        <v>2010</v>
      </c>
      <c r="N159" s="1001">
        <v>2015</v>
      </c>
      <c r="O159" s="1001">
        <v>2020</v>
      </c>
      <c r="P159" s="1001">
        <v>2025</v>
      </c>
      <c r="R159" s="885" t="s">
        <v>322</v>
      </c>
      <c r="S159" s="1010">
        <v>2010</v>
      </c>
      <c r="T159" s="1010">
        <v>2015</v>
      </c>
      <c r="U159" s="1010">
        <v>2020</v>
      </c>
      <c r="V159" s="1010">
        <v>2025</v>
      </c>
      <c r="X159" s="885" t="s">
        <v>322</v>
      </c>
      <c r="Y159" s="1008">
        <v>2010</v>
      </c>
      <c r="Z159" s="1008">
        <v>2015</v>
      </c>
      <c r="AA159" s="1008">
        <v>2020</v>
      </c>
      <c r="AB159" s="1008">
        <v>2025</v>
      </c>
    </row>
    <row r="160" spans="2:28" x14ac:dyDescent="0.3">
      <c r="B160" s="860" t="s">
        <v>403</v>
      </c>
      <c r="C160" s="1002">
        <v>170008.89317499998</v>
      </c>
      <c r="D160" s="1002">
        <v>175166.71871819106</v>
      </c>
      <c r="E160" s="1002">
        <v>180445.90486239837</v>
      </c>
      <c r="F160" s="1002">
        <v>186331.89401168696</v>
      </c>
      <c r="G160" s="1004">
        <f>C160*1.03557175</f>
        <v>176056.40702079778</v>
      </c>
      <c r="H160" s="1004">
        <f t="shared" ref="H160:H180" si="81">D160*1.03557175</f>
        <v>181397.70544475486</v>
      </c>
      <c r="I160" s="1004">
        <f t="shared" ref="I160:I180" si="82">E160*1.03557175</f>
        <v>186864.68147868736</v>
      </c>
      <c r="J160" s="1004">
        <f t="shared" ref="J160:J180" si="83">F160*1.03557175</f>
        <v>192960.04556249717</v>
      </c>
      <c r="L160" s="860" t="s">
        <v>403</v>
      </c>
      <c r="M160" s="1002">
        <f>M106+M133</f>
        <v>247000.4873455317</v>
      </c>
      <c r="N160" s="1002">
        <f t="shared" ref="N160:P160" si="84">N106+N133</f>
        <v>254540.45615609089</v>
      </c>
      <c r="O160" s="1002">
        <f t="shared" si="84"/>
        <v>263175.48303685791</v>
      </c>
      <c r="P160" s="1002">
        <f t="shared" si="84"/>
        <v>272844.09996385348</v>
      </c>
      <c r="R160" s="860" t="s">
        <v>403</v>
      </c>
      <c r="S160" s="1011">
        <v>247000.4873455317</v>
      </c>
      <c r="T160" s="1011">
        <v>254540.45615609089</v>
      </c>
      <c r="U160" s="1011">
        <v>263175.48303685791</v>
      </c>
      <c r="V160" s="1011">
        <v>272844.09996385348</v>
      </c>
      <c r="X160" s="860" t="s">
        <v>403</v>
      </c>
      <c r="Y160" s="1009">
        <v>11927619.738679294</v>
      </c>
      <c r="Z160" s="1009">
        <v>12259836.627556968</v>
      </c>
      <c r="AA160" s="1009">
        <v>12654639.114391109</v>
      </c>
      <c r="AB160" s="1009">
        <v>13096266.444935665</v>
      </c>
    </row>
    <row r="161" spans="2:28" x14ac:dyDescent="0.3">
      <c r="B161" s="863" t="s">
        <v>325</v>
      </c>
      <c r="C161" s="1002">
        <v>541327.25170000002</v>
      </c>
      <c r="D161" s="1002">
        <v>542726.3444957186</v>
      </c>
      <c r="E161" s="1002">
        <v>544612.07826386113</v>
      </c>
      <c r="F161" s="1002">
        <v>546315.32166734466</v>
      </c>
      <c r="G161" s="1004">
        <f t="shared" ref="G161:G180" si="85">C161*1.03557175</f>
        <v>560583.20936565939</v>
      </c>
      <c r="H161" s="1004">
        <f t="shared" si="81"/>
        <v>562032.07034053409</v>
      </c>
      <c r="I161" s="1004">
        <f t="shared" si="82"/>
        <v>563984.88295884361</v>
      </c>
      <c r="J161" s="1004">
        <f t="shared" si="83"/>
        <v>565748.71371086501</v>
      </c>
      <c r="L161" s="863" t="s">
        <v>325</v>
      </c>
      <c r="M161" s="1002">
        <f t="shared" ref="M161:P161" si="86">M107+M134</f>
        <v>454906.81425486109</v>
      </c>
      <c r="N161" s="1002">
        <f t="shared" si="86"/>
        <v>462180.73229339567</v>
      </c>
      <c r="O161" s="1002">
        <f t="shared" si="86"/>
        <v>470387.00159511511</v>
      </c>
      <c r="P161" s="1002">
        <f t="shared" si="86"/>
        <v>478972.04504183086</v>
      </c>
      <c r="R161" s="863" t="s">
        <v>325</v>
      </c>
      <c r="S161" s="1011">
        <v>454906.81425486109</v>
      </c>
      <c r="T161" s="1011">
        <v>462180.73229339567</v>
      </c>
      <c r="U161" s="1011">
        <v>470387.00159511511</v>
      </c>
      <c r="V161" s="1011">
        <v>478972.04504183086</v>
      </c>
      <c r="X161" s="863" t="s">
        <v>325</v>
      </c>
      <c r="Y161" s="1009">
        <v>20504255.027459841</v>
      </c>
      <c r="Z161" s="1009">
        <v>20846775.298969623</v>
      </c>
      <c r="AA161" s="1009">
        <v>21233841.810929827</v>
      </c>
      <c r="AB161" s="1009">
        <v>21639983.784174193</v>
      </c>
    </row>
    <row r="162" spans="2:28" x14ac:dyDescent="0.3">
      <c r="B162" s="863" t="s">
        <v>328</v>
      </c>
      <c r="C162" s="1002">
        <v>1229096.5870500002</v>
      </c>
      <c r="D162" s="1002">
        <v>1236566.5526603705</v>
      </c>
      <c r="E162" s="1002">
        <v>1245964.2513314816</v>
      </c>
      <c r="F162" s="1002">
        <v>1252470.3504114817</v>
      </c>
      <c r="G162" s="1004">
        <f t="shared" si="85"/>
        <v>1272817.7035703959</v>
      </c>
      <c r="H162" s="1004">
        <f t="shared" si="81"/>
        <v>1280553.3889299668</v>
      </c>
      <c r="I162" s="1004">
        <f t="shared" si="82"/>
        <v>1290285.3801887822</v>
      </c>
      <c r="J162" s="1004">
        <f t="shared" si="83"/>
        <v>1297022.9125987312</v>
      </c>
      <c r="L162" s="863" t="s">
        <v>328</v>
      </c>
      <c r="M162" s="1002">
        <f t="shared" ref="M162:P162" si="87">M108+M135</f>
        <v>385533.31989022496</v>
      </c>
      <c r="N162" s="1002">
        <f t="shared" si="87"/>
        <v>394580.23629936471</v>
      </c>
      <c r="O162" s="1002">
        <f t="shared" si="87"/>
        <v>406749.78862732882</v>
      </c>
      <c r="P162" s="1002">
        <f t="shared" si="87"/>
        <v>416528.49131918931</v>
      </c>
      <c r="R162" s="863" t="s">
        <v>328</v>
      </c>
      <c r="S162" s="1011">
        <v>385533.31989022496</v>
      </c>
      <c r="T162" s="1011">
        <v>394580.23629936471</v>
      </c>
      <c r="U162" s="1011">
        <v>406749.78862732882</v>
      </c>
      <c r="V162" s="1011">
        <v>416528.49131918931</v>
      </c>
      <c r="X162" s="863" t="s">
        <v>328</v>
      </c>
      <c r="Y162" s="1009">
        <v>20877340.510647193</v>
      </c>
      <c r="Z162" s="1009">
        <v>21326475.089307155</v>
      </c>
      <c r="AA162" s="1009">
        <v>21952623.603871293</v>
      </c>
      <c r="AB162" s="1009">
        <v>22461148.172832694</v>
      </c>
    </row>
    <row r="163" spans="2:28" x14ac:dyDescent="0.3">
      <c r="B163" s="863" t="s">
        <v>331</v>
      </c>
      <c r="C163" s="1002">
        <v>316517.41027500003</v>
      </c>
      <c r="D163" s="1002">
        <v>318060.26147591748</v>
      </c>
      <c r="E163" s="1002">
        <v>323578.92154073785</v>
      </c>
      <c r="F163" s="1002">
        <v>327554.73040464078</v>
      </c>
      <c r="G163" s="1004">
        <f t="shared" si="85"/>
        <v>327776.48846394976</v>
      </c>
      <c r="H163" s="1004">
        <f t="shared" si="81"/>
        <v>329374.22158207343</v>
      </c>
      <c r="I163" s="1004">
        <f t="shared" si="82"/>
        <v>335089.19004305458</v>
      </c>
      <c r="J163" s="1004">
        <f t="shared" si="83"/>
        <v>339206.42538591201</v>
      </c>
      <c r="L163" s="863" t="s">
        <v>331</v>
      </c>
      <c r="M163" s="1002">
        <f t="shared" ref="M163:P163" si="88">M109+M136</f>
        <v>171766.46790624916</v>
      </c>
      <c r="N163" s="1002">
        <f t="shared" si="88"/>
        <v>175877.64595799756</v>
      </c>
      <c r="O163" s="1002">
        <f t="shared" si="88"/>
        <v>182325.12148225645</v>
      </c>
      <c r="P163" s="1002">
        <f t="shared" si="88"/>
        <v>188344.97861478897</v>
      </c>
      <c r="R163" s="863" t="s">
        <v>331</v>
      </c>
      <c r="S163" s="1011">
        <v>171766.46790624916</v>
      </c>
      <c r="T163" s="1011">
        <v>175877.64595799756</v>
      </c>
      <c r="U163" s="1011">
        <v>182325.12148225645</v>
      </c>
      <c r="V163" s="1011">
        <v>188344.97861478897</v>
      </c>
      <c r="X163" s="863" t="s">
        <v>331</v>
      </c>
      <c r="Y163" s="1009">
        <v>7419156.9307699017</v>
      </c>
      <c r="Z163" s="1009">
        <v>7595960.330441488</v>
      </c>
      <c r="AA163" s="1009">
        <v>7871098.1127152331</v>
      </c>
      <c r="AB163" s="1009">
        <v>8128639.064113291</v>
      </c>
    </row>
    <row r="164" spans="2:28" x14ac:dyDescent="0.3">
      <c r="B164" s="863" t="s">
        <v>333</v>
      </c>
      <c r="C164" s="1002">
        <v>58171.764875000008</v>
      </c>
      <c r="D164" s="1002">
        <v>56604.442712564771</v>
      </c>
      <c r="E164" s="1002">
        <v>56664.724334196901</v>
      </c>
      <c r="F164" s="1002">
        <v>56544.161090932648</v>
      </c>
      <c r="G164" s="1004">
        <f t="shared" si="85"/>
        <v>60241.036352192285</v>
      </c>
      <c r="H164" s="1004">
        <f t="shared" si="81"/>
        <v>58617.961797625438</v>
      </c>
      <c r="I164" s="1004">
        <f t="shared" si="82"/>
        <v>58680.38774203186</v>
      </c>
      <c r="J164" s="1004">
        <f t="shared" si="83"/>
        <v>58555.535853219029</v>
      </c>
      <c r="L164" s="863" t="s">
        <v>333</v>
      </c>
      <c r="M164" s="1002">
        <f t="shared" ref="M164:P164" si="89">M110+M137</f>
        <v>186694.88866288343</v>
      </c>
      <c r="N164" s="1002">
        <f t="shared" si="89"/>
        <v>185516.81953535287</v>
      </c>
      <c r="O164" s="1002">
        <f t="shared" si="89"/>
        <v>186916.71127764357</v>
      </c>
      <c r="P164" s="1002">
        <f t="shared" si="89"/>
        <v>188209.91510527098</v>
      </c>
      <c r="R164" s="863" t="s">
        <v>333</v>
      </c>
      <c r="S164" s="1011">
        <v>186694.88866288343</v>
      </c>
      <c r="T164" s="1011">
        <v>185516.81953535287</v>
      </c>
      <c r="U164" s="1011">
        <v>186916.71127764357</v>
      </c>
      <c r="V164" s="1011">
        <v>188209.91510527098</v>
      </c>
      <c r="X164" s="863" t="s">
        <v>333</v>
      </c>
      <c r="Y164" s="1009">
        <v>9866495.0818169005</v>
      </c>
      <c r="Z164" s="1009">
        <v>9804863.3794431034</v>
      </c>
      <c r="AA164" s="1009">
        <v>9865209.1929066312</v>
      </c>
      <c r="AB164" s="1009">
        <v>9922647.8378690537</v>
      </c>
    </row>
    <row r="165" spans="2:28" x14ac:dyDescent="0.3">
      <c r="B165" s="863" t="s">
        <v>335</v>
      </c>
      <c r="C165" s="1002">
        <v>504812.77135</v>
      </c>
      <c r="D165" s="1002">
        <v>507505.79093593749</v>
      </c>
      <c r="E165" s="1002">
        <v>510438.19004062499</v>
      </c>
      <c r="F165" s="1002">
        <v>513250.89938593749</v>
      </c>
      <c r="G165" s="1004">
        <f t="shared" si="85"/>
        <v>522769.84504926932</v>
      </c>
      <c r="H165" s="1004">
        <f t="shared" si="81"/>
        <v>525558.66005466285</v>
      </c>
      <c r="I165" s="1004">
        <f t="shared" si="82"/>
        <v>528595.36972720257</v>
      </c>
      <c r="J165" s="1004">
        <f t="shared" si="83"/>
        <v>531508.13206616917</v>
      </c>
      <c r="L165" s="863" t="s">
        <v>335</v>
      </c>
      <c r="M165" s="1002">
        <f t="shared" ref="M165:P165" si="90">M111+M138</f>
        <v>163499.12984951836</v>
      </c>
      <c r="N165" s="1002">
        <f t="shared" si="90"/>
        <v>167889.31789225427</v>
      </c>
      <c r="O165" s="1002">
        <f t="shared" si="90"/>
        <v>172903.83924788982</v>
      </c>
      <c r="P165" s="1002">
        <f t="shared" si="90"/>
        <v>178086.89081625576</v>
      </c>
      <c r="R165" s="863" t="s">
        <v>335</v>
      </c>
      <c r="S165" s="1011">
        <v>163499.12984951836</v>
      </c>
      <c r="T165" s="1011">
        <v>167889.31789225427</v>
      </c>
      <c r="U165" s="1011">
        <v>172903.83924788982</v>
      </c>
      <c r="V165" s="1011">
        <v>178086.89081625576</v>
      </c>
      <c r="X165" s="863" t="s">
        <v>335</v>
      </c>
      <c r="Y165" s="1009">
        <v>8745904.5508553311</v>
      </c>
      <c r="Z165" s="1009">
        <v>8986859.7599580362</v>
      </c>
      <c r="AA165" s="1009">
        <v>9265372.2853798978</v>
      </c>
      <c r="AB165" s="1009">
        <v>9557477.4187884629</v>
      </c>
    </row>
    <row r="166" spans="2:28" x14ac:dyDescent="0.3">
      <c r="B166" s="863" t="s">
        <v>336</v>
      </c>
      <c r="C166" s="1002">
        <v>468872.25967499998</v>
      </c>
      <c r="D166" s="1002">
        <v>468444.40074947203</v>
      </c>
      <c r="E166" s="1002">
        <v>468872.25967499998</v>
      </c>
      <c r="F166" s="1002">
        <v>469238.99589688121</v>
      </c>
      <c r="G166" s="1004">
        <f t="shared" si="85"/>
        <v>485550.86647809413</v>
      </c>
      <c r="H166" s="1004">
        <f t="shared" si="81"/>
        <v>485107.78786183201</v>
      </c>
      <c r="I166" s="1004">
        <f t="shared" si="82"/>
        <v>485550.86647809413</v>
      </c>
      <c r="J166" s="1004">
        <f t="shared" si="83"/>
        <v>485930.64814917604</v>
      </c>
      <c r="L166" s="863" t="s">
        <v>336</v>
      </c>
      <c r="M166" s="1002">
        <f t="shared" ref="M166:P166" si="91">M112+M139</f>
        <v>267174.84812021378</v>
      </c>
      <c r="N166" s="1002">
        <f t="shared" si="91"/>
        <v>275123.77118042257</v>
      </c>
      <c r="O166" s="1002">
        <f t="shared" si="91"/>
        <v>284160.84274854057</v>
      </c>
      <c r="P166" s="1002">
        <f t="shared" si="91"/>
        <v>293844.29942309088</v>
      </c>
      <c r="R166" s="863" t="s">
        <v>336</v>
      </c>
      <c r="S166" s="1011">
        <v>267174.84812021378</v>
      </c>
      <c r="T166" s="1011">
        <v>275123.77118042257</v>
      </c>
      <c r="U166" s="1011">
        <v>284160.84274854057</v>
      </c>
      <c r="V166" s="1011">
        <v>293844.29942309088</v>
      </c>
      <c r="X166" s="863" t="s">
        <v>336</v>
      </c>
      <c r="Y166" s="1009">
        <v>15099257.894009283</v>
      </c>
      <c r="Z166" s="1009">
        <v>15665335.915765081</v>
      </c>
      <c r="AA166" s="1009">
        <v>16305606.570839643</v>
      </c>
      <c r="AB166" s="1009">
        <v>16996514.950591002</v>
      </c>
    </row>
    <row r="167" spans="2:28" x14ac:dyDescent="0.3">
      <c r="B167" s="863" t="s">
        <v>337</v>
      </c>
      <c r="C167" s="1002">
        <v>583969.8456</v>
      </c>
      <c r="D167" s="1002">
        <v>592106.14920916036</v>
      </c>
      <c r="E167" s="1002">
        <v>600900.5361984733</v>
      </c>
      <c r="F167" s="1002">
        <v>609994.05199694657</v>
      </c>
      <c r="G167" s="1004">
        <f t="shared" si="85"/>
        <v>604742.67495522171</v>
      </c>
      <c r="H167" s="1004">
        <f t="shared" si="81"/>
        <v>613168.40112229122</v>
      </c>
      <c r="I167" s="1004">
        <f t="shared" si="82"/>
        <v>622275.61984699126</v>
      </c>
      <c r="J167" s="1004">
        <f t="shared" si="83"/>
        <v>631692.60791606887</v>
      </c>
      <c r="L167" s="863" t="s">
        <v>337</v>
      </c>
      <c r="M167" s="1002">
        <f t="shared" ref="M167:P167" si="92">M113+M140</f>
        <v>282524.41931470926</v>
      </c>
      <c r="N167" s="1002">
        <f t="shared" si="92"/>
        <v>294271.91715962358</v>
      </c>
      <c r="O167" s="1002">
        <f t="shared" si="92"/>
        <v>310112.87051546352</v>
      </c>
      <c r="P167" s="1002">
        <f t="shared" si="92"/>
        <v>327026.51723508455</v>
      </c>
      <c r="R167" s="863" t="s">
        <v>337</v>
      </c>
      <c r="S167" s="1011">
        <v>282524.41931470926</v>
      </c>
      <c r="T167" s="1011">
        <v>294271.91715962358</v>
      </c>
      <c r="U167" s="1011">
        <v>310112.87051546352</v>
      </c>
      <c r="V167" s="1011">
        <v>327026.51723508455</v>
      </c>
      <c r="X167" s="863" t="s">
        <v>337</v>
      </c>
      <c r="Y167" s="1009">
        <v>16857843.326677311</v>
      </c>
      <c r="Z167" s="1009">
        <v>17531078.065993767</v>
      </c>
      <c r="AA167" s="1009">
        <v>18471876.798794687</v>
      </c>
      <c r="AB167" s="1009">
        <v>19477954.837544903</v>
      </c>
    </row>
    <row r="168" spans="2:28" x14ac:dyDescent="0.3">
      <c r="B168" s="863" t="s">
        <v>338</v>
      </c>
      <c r="C168" s="1002">
        <v>379338.63795</v>
      </c>
      <c r="D168" s="1002">
        <v>379787.10450390138</v>
      </c>
      <c r="E168" s="1002">
        <v>380555.90431058948</v>
      </c>
      <c r="F168" s="1002">
        <v>381709.10402062157</v>
      </c>
      <c r="G168" s="1004">
        <f t="shared" si="85"/>
        <v>392832.37714449788</v>
      </c>
      <c r="H168" s="1004">
        <f t="shared" si="81"/>
        <v>393296.796438538</v>
      </c>
      <c r="I168" s="1004">
        <f t="shared" si="82"/>
        <v>394092.94379974966</v>
      </c>
      <c r="J168" s="1004">
        <f t="shared" si="83"/>
        <v>395287.16484156705</v>
      </c>
      <c r="L168" s="863" t="s">
        <v>338</v>
      </c>
      <c r="M168" s="1002">
        <f t="shared" ref="M168:P168" si="93">M114+M141</f>
        <v>205469.52551121431</v>
      </c>
      <c r="N168" s="1002">
        <f t="shared" si="93"/>
        <v>211618.31645339687</v>
      </c>
      <c r="O168" s="1002">
        <f t="shared" si="93"/>
        <v>218433.9540459984</v>
      </c>
      <c r="P168" s="1002">
        <f t="shared" si="93"/>
        <v>226011.03864147511</v>
      </c>
      <c r="R168" s="863" t="s">
        <v>338</v>
      </c>
      <c r="S168" s="1011">
        <v>205469.52551121431</v>
      </c>
      <c r="T168" s="1011">
        <v>211618.31645339687</v>
      </c>
      <c r="U168" s="1011">
        <v>218433.9540459984</v>
      </c>
      <c r="V168" s="1011">
        <v>226011.03864147511</v>
      </c>
      <c r="X168" s="863" t="s">
        <v>338</v>
      </c>
      <c r="Y168" s="1009">
        <v>8625474.3040976543</v>
      </c>
      <c r="Z168" s="1009">
        <v>8881522.1390169337</v>
      </c>
      <c r="AA168" s="1009">
        <v>9165008.9169527981</v>
      </c>
      <c r="AB168" s="1009">
        <v>9479790.356382573</v>
      </c>
    </row>
    <row r="169" spans="2:28" x14ac:dyDescent="0.3">
      <c r="B169" s="863" t="s">
        <v>339</v>
      </c>
      <c r="C169" s="1002">
        <v>286234.32817499997</v>
      </c>
      <c r="D169" s="1002">
        <v>288422.46850048151</v>
      </c>
      <c r="E169" s="1002">
        <v>291911.66523570876</v>
      </c>
      <c r="F169" s="1002">
        <v>294986.88947692601</v>
      </c>
      <c r="G169" s="1004">
        <f t="shared" si="85"/>
        <v>296416.18413825898</v>
      </c>
      <c r="H169" s="1004">
        <f t="shared" si="81"/>
        <v>298682.16044436349</v>
      </c>
      <c r="I169" s="1004">
        <f t="shared" si="82"/>
        <v>302295.47401355708</v>
      </c>
      <c r="J169" s="1004">
        <f t="shared" si="83"/>
        <v>305480.08936267684</v>
      </c>
      <c r="L169" s="863" t="s">
        <v>339</v>
      </c>
      <c r="M169" s="1002">
        <f t="shared" ref="M169:P169" si="94">M115+M142</f>
        <v>180405.99361071619</v>
      </c>
      <c r="N169" s="1002">
        <f t="shared" si="94"/>
        <v>185931.70319884759</v>
      </c>
      <c r="O169" s="1002">
        <f t="shared" si="94"/>
        <v>193334.29589141495</v>
      </c>
      <c r="P169" s="1002">
        <f t="shared" si="94"/>
        <v>200726.63116467412</v>
      </c>
      <c r="R169" s="863" t="s">
        <v>339</v>
      </c>
      <c r="S169" s="1011">
        <v>180405.99361071619</v>
      </c>
      <c r="T169" s="1011">
        <v>185931.70319884759</v>
      </c>
      <c r="U169" s="1011">
        <v>193334.29589141495</v>
      </c>
      <c r="V169" s="1011">
        <v>200726.63116467412</v>
      </c>
      <c r="X169" s="863" t="s">
        <v>339</v>
      </c>
      <c r="Y169" s="1009">
        <v>8728377.877203377</v>
      </c>
      <c r="Z169" s="1009">
        <v>8974837.5018969625</v>
      </c>
      <c r="AA169" s="1009">
        <v>9303627.4128658399</v>
      </c>
      <c r="AB169" s="1009">
        <v>9632548.9297613464</v>
      </c>
    </row>
    <row r="170" spans="2:28" x14ac:dyDescent="0.3">
      <c r="B170" s="863" t="s">
        <v>340</v>
      </c>
      <c r="C170" s="1002">
        <v>411298.262475</v>
      </c>
      <c r="D170" s="1002">
        <v>416288.33043589554</v>
      </c>
      <c r="E170" s="1002">
        <v>421639.12620119308</v>
      </c>
      <c r="F170" s="1002">
        <v>428011.98407896323</v>
      </c>
      <c r="G170" s="1004">
        <f t="shared" si="85"/>
        <v>425928.86144319503</v>
      </c>
      <c r="H170" s="1004">
        <f t="shared" si="81"/>
        <v>431096.43485407857</v>
      </c>
      <c r="I170" s="1004">
        <f t="shared" si="82"/>
        <v>436637.56778864033</v>
      </c>
      <c r="J170" s="1004">
        <f t="shared" si="83"/>
        <v>443237.11937362404</v>
      </c>
      <c r="L170" s="863" t="s">
        <v>340</v>
      </c>
      <c r="M170" s="1002">
        <f t="shared" ref="M170:P170" si="95">M116+M143</f>
        <v>263285.48749519174</v>
      </c>
      <c r="N170" s="1002">
        <f t="shared" si="95"/>
        <v>270273.47450931161</v>
      </c>
      <c r="O170" s="1002">
        <f t="shared" si="95"/>
        <v>278030.39789113682</v>
      </c>
      <c r="P170" s="1002">
        <f t="shared" si="95"/>
        <v>287073.02446287527</v>
      </c>
      <c r="R170" s="863" t="s">
        <v>340</v>
      </c>
      <c r="S170" s="1011">
        <v>263285.48749519174</v>
      </c>
      <c r="T170" s="1011">
        <v>270273.47450931161</v>
      </c>
      <c r="U170" s="1011">
        <v>278030.39789113682</v>
      </c>
      <c r="V170" s="1011">
        <v>287073.02446287527</v>
      </c>
      <c r="X170" s="863" t="s">
        <v>340</v>
      </c>
      <c r="Y170" s="1009">
        <v>11881412.824564323</v>
      </c>
      <c r="Z170" s="1009">
        <v>12183415.729680039</v>
      </c>
      <c r="AA170" s="1009">
        <v>12518090.114567863</v>
      </c>
      <c r="AB170" s="1009">
        <v>12907587.769059565</v>
      </c>
    </row>
    <row r="171" spans="2:28" x14ac:dyDescent="0.3">
      <c r="B171" s="863" t="s">
        <v>341</v>
      </c>
      <c r="C171" s="1002">
        <v>658883.82334999996</v>
      </c>
      <c r="D171" s="1002">
        <v>670910.9958386349</v>
      </c>
      <c r="E171" s="1002">
        <v>686885.54801584734</v>
      </c>
      <c r="F171" s="1002">
        <v>697802.51996706985</v>
      </c>
      <c r="G171" s="1004">
        <f t="shared" si="85"/>
        <v>682321.47399325029</v>
      </c>
      <c r="H171" s="1004">
        <f t="shared" si="81"/>
        <v>694776.47405485786</v>
      </c>
      <c r="I171" s="1004">
        <f t="shared" si="82"/>
        <v>711319.26900848001</v>
      </c>
      <c r="J171" s="1004">
        <f t="shared" si="83"/>
        <v>722624.57675670844</v>
      </c>
      <c r="L171" s="863" t="s">
        <v>341</v>
      </c>
      <c r="M171" s="1002">
        <f t="shared" ref="M171:P171" si="96">M117+M144</f>
        <v>444943.4850712925</v>
      </c>
      <c r="N171" s="1002">
        <f t="shared" si="96"/>
        <v>461535.22062918026</v>
      </c>
      <c r="O171" s="1002">
        <f t="shared" si="96"/>
        <v>483073.8000217519</v>
      </c>
      <c r="P171" s="1002">
        <f t="shared" si="96"/>
        <v>501182.33678860561</v>
      </c>
      <c r="R171" s="863" t="s">
        <v>341</v>
      </c>
      <c r="S171" s="1011">
        <v>444943.4850712925</v>
      </c>
      <c r="T171" s="1011">
        <v>461535.22062918026</v>
      </c>
      <c r="U171" s="1011">
        <v>483073.8000217519</v>
      </c>
      <c r="V171" s="1011">
        <v>501182.33678860561</v>
      </c>
      <c r="X171" s="863" t="s">
        <v>341</v>
      </c>
      <c r="Y171" s="1009">
        <v>19437526.768037081</v>
      </c>
      <c r="Z171" s="1009">
        <v>20148970.866213314</v>
      </c>
      <c r="AA171" s="1009">
        <v>21078831.571926475</v>
      </c>
      <c r="AB171" s="1009">
        <v>21864846.541440148</v>
      </c>
    </row>
    <row r="172" spans="2:28" x14ac:dyDescent="0.3">
      <c r="B172" s="863" t="s">
        <v>342</v>
      </c>
      <c r="C172" s="1002">
        <v>623062.51849999989</v>
      </c>
      <c r="D172" s="1002">
        <v>630639.22404393204</v>
      </c>
      <c r="E172" s="1002">
        <v>640095.42243597121</v>
      </c>
      <c r="F172" s="1002">
        <v>648494.4061009502</v>
      </c>
      <c r="G172" s="1004">
        <f t="shared" si="85"/>
        <v>645225.9426424522</v>
      </c>
      <c r="H172" s="1004">
        <f t="shared" si="81"/>
        <v>653072.16486181668</v>
      </c>
      <c r="I172" s="1004">
        <f t="shared" si="82"/>
        <v>662864.73677900794</v>
      </c>
      <c r="J172" s="1004">
        <f t="shared" si="83"/>
        <v>671562.48699117161</v>
      </c>
      <c r="L172" s="863" t="s">
        <v>342</v>
      </c>
      <c r="M172" s="1002">
        <f t="shared" ref="M172:P172" si="97">M118+M145</f>
        <v>372435.31514209014</v>
      </c>
      <c r="N172" s="1002">
        <f t="shared" si="97"/>
        <v>382778.82254244003</v>
      </c>
      <c r="O172" s="1002">
        <f t="shared" si="97"/>
        <v>395311.06840655953</v>
      </c>
      <c r="P172" s="1002">
        <f t="shared" si="97"/>
        <v>407555.27227288444</v>
      </c>
      <c r="R172" s="863" t="s">
        <v>342</v>
      </c>
      <c r="S172" s="1011">
        <v>372435.31514209014</v>
      </c>
      <c r="T172" s="1011">
        <v>382778.82254244003</v>
      </c>
      <c r="U172" s="1011">
        <v>395311.06840655953</v>
      </c>
      <c r="V172" s="1011">
        <v>407555.27227288444</v>
      </c>
      <c r="X172" s="863" t="s">
        <v>342</v>
      </c>
      <c r="Y172" s="1009">
        <v>15669269.595996255</v>
      </c>
      <c r="Z172" s="1009">
        <v>16104693.296107512</v>
      </c>
      <c r="AA172" s="1009">
        <v>16633883.840346329</v>
      </c>
      <c r="AB172" s="1009">
        <v>17153053.01065962</v>
      </c>
    </row>
    <row r="173" spans="2:28" x14ac:dyDescent="0.3">
      <c r="B173" s="863" t="s">
        <v>343</v>
      </c>
      <c r="C173" s="1002">
        <v>306081.96870000003</v>
      </c>
      <c r="D173" s="1002">
        <v>311765.94673610595</v>
      </c>
      <c r="E173" s="1002">
        <v>319082.55676130624</v>
      </c>
      <c r="F173" s="1002">
        <v>325975.89182637096</v>
      </c>
      <c r="G173" s="1004">
        <f t="shared" si="85"/>
        <v>316969.83997010422</v>
      </c>
      <c r="H173" s="1004">
        <f t="shared" si="81"/>
        <v>322856.00705191598</v>
      </c>
      <c r="I173" s="1004">
        <f t="shared" si="82"/>
        <v>330432.88169978024</v>
      </c>
      <c r="J173" s="1004">
        <f t="shared" si="83"/>
        <v>337571.42475644563</v>
      </c>
      <c r="L173" s="863" t="s">
        <v>343</v>
      </c>
      <c r="M173" s="1002">
        <f t="shared" ref="M173:P173" si="98">M119+M146</f>
        <v>275243.2812026192</v>
      </c>
      <c r="N173" s="1002">
        <f t="shared" si="98"/>
        <v>282711.94694955717</v>
      </c>
      <c r="O173" s="1002">
        <f t="shared" si="98"/>
        <v>292038.0770968346</v>
      </c>
      <c r="P173" s="1002">
        <f t="shared" si="98"/>
        <v>301505.66087438364</v>
      </c>
      <c r="R173" s="863" t="s">
        <v>343</v>
      </c>
      <c r="S173" s="1011">
        <v>275243.2812026192</v>
      </c>
      <c r="T173" s="1011">
        <v>282711.94694955717</v>
      </c>
      <c r="U173" s="1011">
        <v>292038.0770968346</v>
      </c>
      <c r="V173" s="1011">
        <v>301505.66087438364</v>
      </c>
      <c r="X173" s="863" t="s">
        <v>343</v>
      </c>
      <c r="Y173" s="1009">
        <v>12240596.037991896</v>
      </c>
      <c r="Z173" s="1009">
        <v>12557713.61578647</v>
      </c>
      <c r="AA173" s="1009">
        <v>12957759.900738824</v>
      </c>
      <c r="AB173" s="1009">
        <v>13364637.926583774</v>
      </c>
    </row>
    <row r="174" spans="2:28" x14ac:dyDescent="0.3">
      <c r="B174" s="863" t="s">
        <v>344</v>
      </c>
      <c r="C174" s="1002">
        <v>357838.308525</v>
      </c>
      <c r="D174" s="1002">
        <v>371275.61385983409</v>
      </c>
      <c r="E174" s="1002">
        <v>394094.82156808843</v>
      </c>
      <c r="F174" s="1002">
        <v>413584.96714383882</v>
      </c>
      <c r="G174" s="1004">
        <f t="shared" si="85"/>
        <v>370567.24337627413</v>
      </c>
      <c r="H174" s="1004">
        <f t="shared" si="81"/>
        <v>384482.53717715258</v>
      </c>
      <c r="I174" s="1004">
        <f t="shared" si="82"/>
        <v>408113.46403720306</v>
      </c>
      <c r="J174" s="1004">
        <f t="shared" si="83"/>
        <v>428296.9081988376</v>
      </c>
      <c r="L174" s="863" t="s">
        <v>344</v>
      </c>
      <c r="M174" s="1002">
        <f t="shared" ref="M174:P174" si="99">M120+M147</f>
        <v>354364.58359448402</v>
      </c>
      <c r="N174" s="1002">
        <f t="shared" si="99"/>
        <v>368073.09199237055</v>
      </c>
      <c r="O174" s="1002">
        <f t="shared" si="99"/>
        <v>390722.98357768997</v>
      </c>
      <c r="P174" s="1002">
        <f t="shared" si="99"/>
        <v>411544.49015030812</v>
      </c>
      <c r="R174" s="863" t="s">
        <v>344</v>
      </c>
      <c r="S174" s="1011">
        <v>354364.58359448402</v>
      </c>
      <c r="T174" s="1011">
        <v>368073.09199237055</v>
      </c>
      <c r="U174" s="1011">
        <v>390722.98357768997</v>
      </c>
      <c r="V174" s="1011">
        <v>411544.49015030812</v>
      </c>
      <c r="X174" s="863" t="s">
        <v>344</v>
      </c>
      <c r="Y174" s="1009">
        <v>17137000.133997668</v>
      </c>
      <c r="Z174" s="1009">
        <v>17750290.269561056</v>
      </c>
      <c r="AA174" s="1009">
        <v>18791895.098461173</v>
      </c>
      <c r="AB174" s="1009">
        <v>19752945.383793734</v>
      </c>
    </row>
    <row r="175" spans="2:28" x14ac:dyDescent="0.3">
      <c r="B175" s="863" t="s">
        <v>345</v>
      </c>
      <c r="C175" s="1002">
        <v>299770.73995000002</v>
      </c>
      <c r="D175" s="1002">
        <v>300445.89927421173</v>
      </c>
      <c r="E175" s="1002">
        <v>301182.43671880628</v>
      </c>
      <c r="F175" s="1002">
        <v>302348.62100608106</v>
      </c>
      <c r="G175" s="1004">
        <f t="shared" si="85"/>
        <v>310434.10976881639</v>
      </c>
      <c r="H175" s="1004">
        <f t="shared" si="81"/>
        <v>311133.28569171915</v>
      </c>
      <c r="I175" s="1004">
        <f t="shared" si="82"/>
        <v>311896.02306215843</v>
      </c>
      <c r="J175" s="1004">
        <f t="shared" si="83"/>
        <v>313103.69056535407</v>
      </c>
      <c r="L175" s="863" t="s">
        <v>345</v>
      </c>
      <c r="M175" s="1002">
        <f t="shared" ref="M175:P175" si="100">M121+M148</f>
        <v>205462.5193948512</v>
      </c>
      <c r="N175" s="1002">
        <f t="shared" si="100"/>
        <v>209142.47860198678</v>
      </c>
      <c r="O175" s="1002">
        <f t="shared" si="100"/>
        <v>213106.11399518812</v>
      </c>
      <c r="P175" s="1002">
        <f t="shared" si="100"/>
        <v>217610.47857779317</v>
      </c>
      <c r="R175" s="863" t="s">
        <v>345</v>
      </c>
      <c r="S175" s="1011">
        <v>205462.5193948512</v>
      </c>
      <c r="T175" s="1011">
        <v>209142.47860198678</v>
      </c>
      <c r="U175" s="1011">
        <v>213106.11399518812</v>
      </c>
      <c r="V175" s="1011">
        <v>217610.47857779317</v>
      </c>
      <c r="X175" s="863" t="s">
        <v>345</v>
      </c>
      <c r="Y175" s="1009">
        <v>8700807.5321963057</v>
      </c>
      <c r="Z175" s="1009">
        <v>8877871.6827402133</v>
      </c>
      <c r="AA175" s="1009">
        <v>9068724.4929481</v>
      </c>
      <c r="AB175" s="1009">
        <v>9284199.5246065296</v>
      </c>
    </row>
    <row r="176" spans="2:28" x14ac:dyDescent="0.3">
      <c r="B176" s="863" t="s">
        <v>346</v>
      </c>
      <c r="C176" s="1002">
        <v>1055538.5902249999</v>
      </c>
      <c r="D176" s="1002">
        <v>1055837.0992146148</v>
      </c>
      <c r="E176" s="1002">
        <v>1056135.6082042297</v>
      </c>
      <c r="F176" s="1002">
        <v>1056493.8189917672</v>
      </c>
      <c r="G176" s="1004">
        <f t="shared" si="85"/>
        <v>1093085.945071836</v>
      </c>
      <c r="H176" s="1004">
        <f t="shared" si="81"/>
        <v>1093395.0725486022</v>
      </c>
      <c r="I176" s="1004">
        <f t="shared" si="82"/>
        <v>1093704.2000253685</v>
      </c>
      <c r="J176" s="1004">
        <f t="shared" si="83"/>
        <v>1094075.1529974875</v>
      </c>
      <c r="L176" s="863" t="s">
        <v>346</v>
      </c>
      <c r="M176" s="1002">
        <f t="shared" ref="M176:P176" si="101">M122+M149</f>
        <v>136795.23650740131</v>
      </c>
      <c r="N176" s="1002">
        <f t="shared" si="101"/>
        <v>137975.24133687609</v>
      </c>
      <c r="O176" s="1002">
        <f t="shared" si="101"/>
        <v>139262.01585845283</v>
      </c>
      <c r="P176" s="1002">
        <f t="shared" si="101"/>
        <v>140690.65401210581</v>
      </c>
      <c r="R176" s="863" t="s">
        <v>346</v>
      </c>
      <c r="S176" s="1011">
        <v>136795.23650740131</v>
      </c>
      <c r="T176" s="1011">
        <v>137975.24133687609</v>
      </c>
      <c r="U176" s="1011">
        <v>139262.01585845283</v>
      </c>
      <c r="V176" s="1011">
        <v>140690.65401210581</v>
      </c>
      <c r="X176" s="863" t="s">
        <v>346</v>
      </c>
      <c r="Y176" s="1009">
        <v>8203056.8025164902</v>
      </c>
      <c r="Z176" s="1009">
        <v>8256839.6801718231</v>
      </c>
      <c r="AA176" s="1009">
        <v>8316470.2179524023</v>
      </c>
      <c r="AB176" s="1009">
        <v>8382807.6127079781</v>
      </c>
    </row>
    <row r="177" spans="2:28" x14ac:dyDescent="0.3">
      <c r="B177" s="863" t="s">
        <v>347</v>
      </c>
      <c r="C177" s="1002">
        <v>248067.77029999997</v>
      </c>
      <c r="D177" s="1002">
        <v>255429.64645931317</v>
      </c>
      <c r="E177" s="1002">
        <v>265185.62868669553</v>
      </c>
      <c r="F177" s="1002">
        <v>272487.65219430689</v>
      </c>
      <c r="G177" s="1004">
        <f t="shared" si="85"/>
        <v>256891.97500816899</v>
      </c>
      <c r="H177" s="1004">
        <f t="shared" si="81"/>
        <v>264515.72598575224</v>
      </c>
      <c r="I177" s="1004">
        <f t="shared" si="82"/>
        <v>274618.74557393149</v>
      </c>
      <c r="J177" s="1004">
        <f t="shared" si="83"/>
        <v>282180.5148362497</v>
      </c>
      <c r="L177" s="863" t="s">
        <v>347</v>
      </c>
      <c r="M177" s="1002">
        <f t="shared" ref="M177:P177" si="102">M123+M150</f>
        <v>118755.03680776636</v>
      </c>
      <c r="N177" s="1002">
        <f t="shared" si="102"/>
        <v>122697.80511040057</v>
      </c>
      <c r="O177" s="1002">
        <f t="shared" si="102"/>
        <v>127915.23345006147</v>
      </c>
      <c r="P177" s="1002">
        <f t="shared" si="102"/>
        <v>132177.14700030597</v>
      </c>
      <c r="R177" s="863" t="s">
        <v>347</v>
      </c>
      <c r="S177" s="1011">
        <v>118755.03680776636</v>
      </c>
      <c r="T177" s="1011">
        <v>122697.80511040057</v>
      </c>
      <c r="U177" s="1011">
        <v>127915.23345006147</v>
      </c>
      <c r="V177" s="1011">
        <v>132177.14700030597</v>
      </c>
      <c r="X177" s="863" t="s">
        <v>347</v>
      </c>
      <c r="Y177" s="1009">
        <v>4997118.7511682957</v>
      </c>
      <c r="Z177" s="1009">
        <v>5153800.0264580343</v>
      </c>
      <c r="AA177" s="1009">
        <v>5360183.9621618614</v>
      </c>
      <c r="AB177" s="1009">
        <v>5529725.3741212599</v>
      </c>
    </row>
    <row r="178" spans="2:28" x14ac:dyDescent="0.3">
      <c r="B178" s="863" t="s">
        <v>348</v>
      </c>
      <c r="C178" s="1002">
        <v>90999.664875000002</v>
      </c>
      <c r="D178" s="1002">
        <v>93653.04989440224</v>
      </c>
      <c r="E178" s="1002">
        <v>97249.860698480828</v>
      </c>
      <c r="F178" s="1002">
        <v>99018.784044749016</v>
      </c>
      <c r="G178" s="1004">
        <f t="shared" si="85"/>
        <v>94236.68220401727</v>
      </c>
      <c r="H178" s="1004">
        <f t="shared" si="81"/>
        <v>96984.45277198343</v>
      </c>
      <c r="I178" s="1004">
        <f t="shared" si="82"/>
        <v>100709.208430782</v>
      </c>
      <c r="J178" s="1004">
        <f t="shared" si="83"/>
        <v>102541.05547609281</v>
      </c>
      <c r="L178" s="863" t="s">
        <v>348</v>
      </c>
      <c r="M178" s="1002">
        <f t="shared" ref="M178:P178" si="103">M124+M151</f>
        <v>148894.85321037786</v>
      </c>
      <c r="N178" s="1002">
        <f t="shared" si="103"/>
        <v>150980.03722032128</v>
      </c>
      <c r="O178" s="1002">
        <f t="shared" si="103"/>
        <v>153648.25284071837</v>
      </c>
      <c r="P178" s="1002">
        <f t="shared" si="103"/>
        <v>155517.26162514457</v>
      </c>
      <c r="R178" s="863" t="s">
        <v>348</v>
      </c>
      <c r="S178" s="1011">
        <v>148894.85321037786</v>
      </c>
      <c r="T178" s="1011">
        <v>150980.03722032128</v>
      </c>
      <c r="U178" s="1011">
        <v>153648.25284071837</v>
      </c>
      <c r="V178" s="1011">
        <v>155517.26162514457</v>
      </c>
      <c r="X178" s="863" t="s">
        <v>348</v>
      </c>
      <c r="Y178" s="1009">
        <v>7414507.1534345131</v>
      </c>
      <c r="Z178" s="1009">
        <v>7505258.7611688599</v>
      </c>
      <c r="AA178" s="1009">
        <v>7621360.3378586583</v>
      </c>
      <c r="AB178" s="1009">
        <v>7703630.6897009406</v>
      </c>
    </row>
    <row r="179" spans="2:28" x14ac:dyDescent="0.3">
      <c r="B179" s="863" t="s">
        <v>349</v>
      </c>
      <c r="C179" s="1002">
        <v>320866.639425</v>
      </c>
      <c r="D179" s="1002">
        <v>321358.57754600421</v>
      </c>
      <c r="E179" s="1002">
        <v>322280.96152288711</v>
      </c>
      <c r="F179" s="1002">
        <v>323633.79135564872</v>
      </c>
      <c r="G179" s="1004">
        <f t="shared" si="85"/>
        <v>332280.42730596621</v>
      </c>
      <c r="H179" s="1004">
        <f t="shared" si="81"/>
        <v>332789.86452682625</v>
      </c>
      <c r="I179" s="1004">
        <f t="shared" si="82"/>
        <v>333745.05931593885</v>
      </c>
      <c r="J179" s="1004">
        <f t="shared" si="83"/>
        <v>335146.01167330396</v>
      </c>
      <c r="L179" s="863" t="s">
        <v>349</v>
      </c>
      <c r="M179" s="1002">
        <f t="shared" ref="M179:P179" si="104">M125+M152</f>
        <v>133057.97038138175</v>
      </c>
      <c r="N179" s="1002">
        <f t="shared" si="104"/>
        <v>136246.90603468739</v>
      </c>
      <c r="O179" s="1002">
        <f t="shared" si="104"/>
        <v>139801.59856125893</v>
      </c>
      <c r="P179" s="1002">
        <f t="shared" si="104"/>
        <v>143743.41381048266</v>
      </c>
      <c r="R179" s="863" t="s">
        <v>349</v>
      </c>
      <c r="S179" s="1011">
        <v>133057.97038138175</v>
      </c>
      <c r="T179" s="1011">
        <v>136246.90603468739</v>
      </c>
      <c r="U179" s="1011">
        <v>139801.59856125893</v>
      </c>
      <c r="V179" s="1011">
        <v>143743.41381048266</v>
      </c>
      <c r="X179" s="863" t="s">
        <v>349</v>
      </c>
      <c r="Y179" s="1009">
        <v>6580593.8660675688</v>
      </c>
      <c r="Z179" s="1009">
        <v>6731526.5465739751</v>
      </c>
      <c r="AA179" s="1009">
        <v>6900325.673293205</v>
      </c>
      <c r="AB179" s="1009">
        <v>7087942.7216851581</v>
      </c>
    </row>
    <row r="180" spans="2:28" ht="15" thickBot="1" x14ac:dyDescent="0.35">
      <c r="B180" s="877" t="s">
        <v>350</v>
      </c>
      <c r="C180" s="1002">
        <v>290413.96789999999</v>
      </c>
      <c r="D180" s="1002">
        <v>293075.72272757051</v>
      </c>
      <c r="E180" s="1002">
        <v>295974.07798425842</v>
      </c>
      <c r="F180" s="1002">
        <v>298103.4818463148</v>
      </c>
      <c r="G180" s="1004">
        <f t="shared" si="85"/>
        <v>300744.50096264679</v>
      </c>
      <c r="H180" s="1004">
        <f t="shared" si="81"/>
        <v>303500.93906750495</v>
      </c>
      <c r="I180" s="1004">
        <f t="shared" si="82"/>
        <v>306502.39389279491</v>
      </c>
      <c r="J180" s="1004">
        <f t="shared" si="83"/>
        <v>308707.54437668144</v>
      </c>
      <c r="L180" s="877" t="s">
        <v>350</v>
      </c>
      <c r="M180" s="1002">
        <f t="shared" ref="M180:P180" si="105">M126+M153</f>
        <v>154087.10300612196</v>
      </c>
      <c r="N180" s="1002">
        <f t="shared" si="105"/>
        <v>155810.3227301946</v>
      </c>
      <c r="O180" s="1002">
        <f t="shared" si="105"/>
        <v>157821.99339014982</v>
      </c>
      <c r="P180" s="1002">
        <f t="shared" si="105"/>
        <v>159619.74169906855</v>
      </c>
      <c r="R180" s="877" t="s">
        <v>350</v>
      </c>
      <c r="S180" s="1011">
        <v>154087.10300612196</v>
      </c>
      <c r="T180" s="1011">
        <v>155810.3227301946</v>
      </c>
      <c r="U180" s="1011">
        <v>157821.99339014982</v>
      </c>
      <c r="V180" s="1011">
        <v>159619.74169906855</v>
      </c>
      <c r="X180" s="877" t="s">
        <v>350</v>
      </c>
      <c r="Y180" s="1009">
        <v>8067633.6644707713</v>
      </c>
      <c r="Z180" s="1009">
        <v>8152154.6386357872</v>
      </c>
      <c r="AA180" s="1009">
        <v>8252611.71542479</v>
      </c>
      <c r="AB180" s="1009">
        <v>8342036.2546699056</v>
      </c>
    </row>
    <row r="181" spans="2:28" ht="15" thickTop="1" x14ac:dyDescent="0.3">
      <c r="B181" s="879" t="s">
        <v>351</v>
      </c>
      <c r="C181" s="1002">
        <f>SUM(C160:C180)</f>
        <v>9201172.0040500015</v>
      </c>
      <c r="D181" s="1002">
        <f t="shared" ref="D181" si="106">SUM(D160:D180)</f>
        <v>9286070.3399922326</v>
      </c>
      <c r="E181" s="1002">
        <f t="shared" ref="E181" si="107">SUM(E160:E180)</f>
        <v>9403750.484590834</v>
      </c>
      <c r="F181" s="1002">
        <f t="shared" ref="F181" si="108">SUM(F160:F180)</f>
        <v>9504352.3169194572</v>
      </c>
      <c r="G181" s="1002">
        <f t="shared" ref="G181" si="109">SUM(G160:G180)</f>
        <v>9528473.7942850664</v>
      </c>
      <c r="H181" s="1002">
        <f t="shared" ref="H181" si="110">SUM(H160:H180)</f>
        <v>9616392.1126088556</v>
      </c>
      <c r="I181" s="1002">
        <f t="shared" ref="I181" si="111">SUM(I160:I180)</f>
        <v>9738258.3458910789</v>
      </c>
      <c r="J181" s="1002">
        <f t="shared" ref="J181" si="112">SUM(J160:J180)</f>
        <v>9842438.7614488397</v>
      </c>
      <c r="L181" s="879" t="s">
        <v>351</v>
      </c>
      <c r="M181" s="1002">
        <f>SUM(M160:M180)</f>
        <v>5152300.7662797002</v>
      </c>
      <c r="N181" s="1002">
        <f t="shared" ref="N181:P181" si="113">SUM(N160:N180)</f>
        <v>5285756.2637840742</v>
      </c>
      <c r="O181" s="1002">
        <f t="shared" si="113"/>
        <v>5459231.4435583111</v>
      </c>
      <c r="P181" s="1002">
        <f t="shared" si="113"/>
        <v>5628814.3885994721</v>
      </c>
      <c r="R181" s="879" t="s">
        <v>351</v>
      </c>
      <c r="S181" s="1011">
        <v>5152300.7662797002</v>
      </c>
      <c r="T181" s="1011">
        <v>5285756.2637840742</v>
      </c>
      <c r="U181" s="1011">
        <v>5459231.4435583111</v>
      </c>
      <c r="V181" s="1011">
        <v>5628814.3885994721</v>
      </c>
      <c r="X181" s="879" t="s">
        <v>351</v>
      </c>
      <c r="Y181" s="866">
        <v>248981248.37265724</v>
      </c>
      <c r="Z181" s="866">
        <v>255296079.22144619</v>
      </c>
      <c r="AA181" s="866">
        <v>263589040.7453267</v>
      </c>
      <c r="AB181" s="866">
        <v>271766384.60602176</v>
      </c>
    </row>
    <row r="184" spans="2:28" x14ac:dyDescent="0.3">
      <c r="C184" s="1213" t="s">
        <v>1528</v>
      </c>
      <c r="D184" s="1213"/>
      <c r="E184" s="1213"/>
      <c r="F184" s="1213"/>
      <c r="G184" s="1213" t="s">
        <v>1525</v>
      </c>
      <c r="H184" s="1213"/>
      <c r="I184" s="1213"/>
      <c r="J184" s="1213"/>
    </row>
    <row r="185" spans="2:28" x14ac:dyDescent="0.3">
      <c r="B185" s="885" t="s">
        <v>322</v>
      </c>
      <c r="C185" s="994">
        <v>2010</v>
      </c>
      <c r="D185" s="994">
        <v>2015</v>
      </c>
      <c r="E185" s="994">
        <v>2020</v>
      </c>
      <c r="F185" s="994">
        <v>2025</v>
      </c>
      <c r="G185" s="994">
        <v>2010</v>
      </c>
      <c r="H185" s="994">
        <v>2015</v>
      </c>
      <c r="I185" s="994">
        <v>2020</v>
      </c>
      <c r="J185" s="994">
        <v>2025</v>
      </c>
      <c r="R185" s="1015"/>
      <c r="S185" s="1015"/>
      <c r="T185" s="1015"/>
      <c r="U185" s="1015"/>
      <c r="V185" s="1015"/>
      <c r="W185" s="1015"/>
      <c r="X185" s="1015"/>
      <c r="Y185" s="1015"/>
      <c r="Z185" s="1015"/>
      <c r="AA185" s="1015"/>
    </row>
    <row r="186" spans="2:28" x14ac:dyDescent="0.3">
      <c r="B186" s="860" t="s">
        <v>403</v>
      </c>
      <c r="C186" s="1002">
        <v>4466059.8137001712</v>
      </c>
      <c r="D186" s="1002">
        <v>4567150.8709535906</v>
      </c>
      <c r="E186" s="1002">
        <v>4715394.604741022</v>
      </c>
      <c r="F186" s="1002">
        <v>4879912.5318540558</v>
      </c>
      <c r="G186" s="1004"/>
      <c r="H186" s="1004"/>
      <c r="I186" s="1004"/>
      <c r="J186" s="1004"/>
      <c r="R186" s="1015"/>
      <c r="S186" s="1015"/>
      <c r="T186" s="1015"/>
      <c r="U186" s="1015"/>
      <c r="V186" s="1015"/>
      <c r="W186" s="1015"/>
      <c r="X186" s="1015"/>
      <c r="Y186" s="1015"/>
      <c r="Z186" s="1015"/>
      <c r="AA186" s="1015"/>
      <c r="AB186" s="1012"/>
    </row>
    <row r="187" spans="2:28" x14ac:dyDescent="0.3">
      <c r="B187" s="863" t="s">
        <v>325</v>
      </c>
      <c r="C187" s="1002">
        <v>7730700.3229269208</v>
      </c>
      <c r="D187" s="1002">
        <v>7776619.5738617023</v>
      </c>
      <c r="E187" s="1002">
        <v>7836007.0113830501</v>
      </c>
      <c r="F187" s="1002">
        <v>7897336.024849602</v>
      </c>
      <c r="G187" s="1004"/>
      <c r="H187" s="1004"/>
      <c r="I187" s="1004"/>
      <c r="J187" s="1004"/>
      <c r="R187" s="1015"/>
      <c r="S187" s="885" t="s">
        <v>154</v>
      </c>
      <c r="T187" s="1213" t="s">
        <v>1531</v>
      </c>
      <c r="U187" s="1213"/>
      <c r="V187" s="1213"/>
      <c r="W187" s="1213"/>
      <c r="X187" s="1214" t="s">
        <v>1532</v>
      </c>
      <c r="Y187" s="1215"/>
      <c r="Z187" s="1215"/>
      <c r="AA187" s="1215"/>
      <c r="AB187" s="1014"/>
    </row>
    <row r="188" spans="2:28" x14ac:dyDescent="0.3">
      <c r="B188" s="863" t="s">
        <v>328</v>
      </c>
      <c r="C188" s="1002">
        <v>8078402.8899815986</v>
      </c>
      <c r="D188" s="1002">
        <v>8235222.9924206398</v>
      </c>
      <c r="E188" s="1002">
        <v>8507497.8896912877</v>
      </c>
      <c r="F188" s="1002">
        <v>8718538.5893740505</v>
      </c>
      <c r="G188" s="1004"/>
      <c r="H188" s="1004"/>
      <c r="I188" s="1004"/>
      <c r="J188" s="1004"/>
      <c r="R188" s="1015"/>
      <c r="S188" s="885" t="s">
        <v>322</v>
      </c>
      <c r="T188" s="1008">
        <v>2010</v>
      </c>
      <c r="U188" s="1008">
        <v>2015</v>
      </c>
      <c r="V188" s="1008">
        <v>2020</v>
      </c>
      <c r="W188" s="1008">
        <v>2025</v>
      </c>
      <c r="X188" s="1008">
        <v>2010</v>
      </c>
      <c r="Y188" s="1008">
        <v>2015</v>
      </c>
      <c r="Z188" s="1008">
        <v>2020</v>
      </c>
      <c r="AA188" s="1013">
        <v>2025</v>
      </c>
      <c r="AB188" s="1014"/>
    </row>
    <row r="189" spans="2:28" x14ac:dyDescent="0.3">
      <c r="B189" s="863" t="s">
        <v>331</v>
      </c>
      <c r="C189" s="1002">
        <v>1415722.742161904</v>
      </c>
      <c r="D189" s="1002">
        <v>1424691.7768090821</v>
      </c>
      <c r="E189" s="1002">
        <v>1451094.0799421514</v>
      </c>
      <c r="F189" s="1002">
        <v>1472447.3368636658</v>
      </c>
      <c r="G189" s="1004"/>
      <c r="H189" s="1004"/>
      <c r="I189" s="1004"/>
      <c r="J189" s="1004"/>
      <c r="R189" s="1015"/>
      <c r="S189" s="860" t="s">
        <v>403</v>
      </c>
      <c r="T189" s="1011">
        <v>247000.4873455317</v>
      </c>
      <c r="U189" s="1011">
        <v>254540.45615609089</v>
      </c>
      <c r="V189" s="1011">
        <v>263175.48303685791</v>
      </c>
      <c r="W189" s="1011">
        <v>272844.09996385348</v>
      </c>
      <c r="X189" s="1009">
        <v>11927619.738679294</v>
      </c>
      <c r="Y189" s="1009">
        <v>12259836.627556968</v>
      </c>
      <c r="Z189" s="1009">
        <v>12654639.114391109</v>
      </c>
      <c r="AA189" s="1009">
        <v>13096266.444935665</v>
      </c>
      <c r="AB189" s="1014"/>
    </row>
    <row r="190" spans="2:28" x14ac:dyDescent="0.3">
      <c r="B190" s="863" t="s">
        <v>333</v>
      </c>
      <c r="C190" s="1002">
        <v>3222200.3221845599</v>
      </c>
      <c r="D190" s="1002">
        <v>3167432.539375158</v>
      </c>
      <c r="E190" s="1002">
        <v>3155110.6727384408</v>
      </c>
      <c r="F190" s="1002">
        <v>3144717.8047501529</v>
      </c>
      <c r="G190" s="1004"/>
      <c r="H190" s="1004"/>
      <c r="I190" s="1004"/>
      <c r="J190" s="1004"/>
      <c r="R190" s="1015"/>
      <c r="S190" s="863" t="s">
        <v>325</v>
      </c>
      <c r="T190" s="1011">
        <v>454906.81425486109</v>
      </c>
      <c r="U190" s="1011">
        <v>462180.73229339567</v>
      </c>
      <c r="V190" s="1011">
        <v>470387.00159511511</v>
      </c>
      <c r="W190" s="1011">
        <v>478972.04504183086</v>
      </c>
      <c r="X190" s="1009">
        <v>20504255.027459841</v>
      </c>
      <c r="Y190" s="1009">
        <v>20846775.298969623</v>
      </c>
      <c r="Z190" s="1009">
        <v>21233841.810929827</v>
      </c>
      <c r="AA190" s="1009">
        <v>21639983.784174193</v>
      </c>
      <c r="AB190" s="1014"/>
    </row>
    <row r="191" spans="2:28" x14ac:dyDescent="0.3">
      <c r="B191" s="863" t="s">
        <v>335</v>
      </c>
      <c r="C191" s="1002">
        <v>1847448.480876524</v>
      </c>
      <c r="D191" s="1002">
        <v>1925934.6068918351</v>
      </c>
      <c r="E191" s="1002">
        <v>2023494.9527310969</v>
      </c>
      <c r="F191" s="1002">
        <v>2126474.7052854248</v>
      </c>
      <c r="G191" s="1004"/>
      <c r="H191" s="1004"/>
      <c r="I191" s="1004"/>
      <c r="J191" s="1004"/>
      <c r="R191" s="1015"/>
      <c r="S191" s="863" t="s">
        <v>328</v>
      </c>
      <c r="T191" s="1011">
        <v>385533.31989022496</v>
      </c>
      <c r="U191" s="1011">
        <v>394580.23629936471</v>
      </c>
      <c r="V191" s="1011">
        <v>406749.78862732882</v>
      </c>
      <c r="W191" s="1011">
        <v>416528.49131918931</v>
      </c>
      <c r="X191" s="1009">
        <v>20877340.510647193</v>
      </c>
      <c r="Y191" s="1009">
        <v>21326475.089307155</v>
      </c>
      <c r="Z191" s="1009">
        <v>21952623.603871293</v>
      </c>
      <c r="AA191" s="1032">
        <v>22461148.172832694</v>
      </c>
      <c r="AB191" s="1014"/>
    </row>
    <row r="192" spans="2:28" x14ac:dyDescent="0.3">
      <c r="B192" s="863" t="s">
        <v>336</v>
      </c>
      <c r="C192" s="1002">
        <v>6981130.0921771917</v>
      </c>
      <c r="D192" s="1002">
        <v>7212720.497708139</v>
      </c>
      <c r="E192" s="1002">
        <v>7478245.4513864443</v>
      </c>
      <c r="F192" s="1002">
        <v>7768056.4926683595</v>
      </c>
      <c r="G192" s="1004"/>
      <c r="H192" s="1004"/>
      <c r="I192" s="1004"/>
      <c r="J192" s="1004"/>
      <c r="R192" s="1015"/>
      <c r="S192" s="863" t="s">
        <v>331</v>
      </c>
      <c r="T192" s="1011">
        <v>171766.46790624916</v>
      </c>
      <c r="U192" s="1011">
        <v>175877.64595799756</v>
      </c>
      <c r="V192" s="1011">
        <v>182325.12148225645</v>
      </c>
      <c r="W192" s="1011">
        <v>188344.97861478897</v>
      </c>
      <c r="X192" s="1009">
        <v>7419156.9307699017</v>
      </c>
      <c r="Y192" s="1009">
        <v>7595960.330441488</v>
      </c>
      <c r="Z192" s="1009">
        <v>7871098.1127152331</v>
      </c>
      <c r="AA192" s="1009">
        <v>8128639.064113291</v>
      </c>
      <c r="AB192" s="1014"/>
    </row>
    <row r="193" spans="2:28" x14ac:dyDescent="0.3">
      <c r="B193" s="863" t="s">
        <v>337</v>
      </c>
      <c r="C193" s="1002">
        <v>11420585.303423943</v>
      </c>
      <c r="D193" s="1002">
        <v>11800425.365658768</v>
      </c>
      <c r="E193" s="1002">
        <v>12412072.725375455</v>
      </c>
      <c r="F193" s="1002">
        <v>13057801.401046362</v>
      </c>
      <c r="G193" s="1004"/>
      <c r="H193" s="1004"/>
      <c r="I193" s="1004"/>
      <c r="J193" s="1004"/>
      <c r="R193" s="1015"/>
      <c r="S193" s="863" t="s">
        <v>333</v>
      </c>
      <c r="T193" s="1011">
        <v>186694.88866288343</v>
      </c>
      <c r="U193" s="1011">
        <v>185516.81953535287</v>
      </c>
      <c r="V193" s="1011">
        <v>186916.71127764357</v>
      </c>
      <c r="W193" s="1011">
        <v>188209.91510527098</v>
      </c>
      <c r="X193" s="1009">
        <v>9866495.0818169005</v>
      </c>
      <c r="Y193" s="1009">
        <v>9804863.3794431034</v>
      </c>
      <c r="Z193" s="1009">
        <v>9865209.1929066312</v>
      </c>
      <c r="AA193" s="1009">
        <v>9922647.8378690537</v>
      </c>
      <c r="AB193" s="1014"/>
    </row>
    <row r="194" spans="2:28" x14ac:dyDescent="0.3">
      <c r="B194" s="863" t="s">
        <v>338</v>
      </c>
      <c r="C194" s="1002">
        <v>1636603.6353304968</v>
      </c>
      <c r="D194" s="1002">
        <v>1640992.1172277923</v>
      </c>
      <c r="E194" s="1002">
        <v>1647155.8110698576</v>
      </c>
      <c r="F194" s="1002">
        <v>1655314.7187041161</v>
      </c>
      <c r="G194" s="1004"/>
      <c r="H194" s="1004"/>
      <c r="I194" s="1004"/>
      <c r="J194" s="1004"/>
      <c r="R194" s="1015"/>
      <c r="S194" s="863" t="s">
        <v>335</v>
      </c>
      <c r="T194" s="1011">
        <v>163499.12984951836</v>
      </c>
      <c r="U194" s="1011">
        <v>167889.31789225427</v>
      </c>
      <c r="V194" s="1011">
        <v>172903.83924788982</v>
      </c>
      <c r="W194" s="1011">
        <v>178086.89081625576</v>
      </c>
      <c r="X194" s="1009">
        <v>8745904.5508553311</v>
      </c>
      <c r="Y194" s="1009">
        <v>8986859.7599580362</v>
      </c>
      <c r="Z194" s="1009">
        <v>9265372.2853798978</v>
      </c>
      <c r="AA194" s="1009">
        <v>9557477.4187884629</v>
      </c>
      <c r="AB194" s="1014"/>
    </row>
    <row r="195" spans="2:28" x14ac:dyDescent="0.3">
      <c r="B195" s="863" t="s">
        <v>339</v>
      </c>
      <c r="C195" s="1002">
        <v>1108442.8112328777</v>
      </c>
      <c r="D195" s="1002">
        <v>1114041.2258383529</v>
      </c>
      <c r="E195" s="1002">
        <v>1123275.9662887582</v>
      </c>
      <c r="F195" s="1002">
        <v>1131531.9949163762</v>
      </c>
      <c r="G195" s="1004"/>
      <c r="H195" s="1004"/>
      <c r="I195" s="1004"/>
      <c r="J195" s="1004"/>
      <c r="R195" s="1015"/>
      <c r="S195" s="863" t="s">
        <v>336</v>
      </c>
      <c r="T195" s="1011">
        <v>267174.84812021378</v>
      </c>
      <c r="U195" s="1011">
        <v>275123.77118042257</v>
      </c>
      <c r="V195" s="1011">
        <v>284160.84274854057</v>
      </c>
      <c r="W195" s="1011">
        <v>293844.29942309088</v>
      </c>
      <c r="X195" s="1009">
        <v>15099257.894009283</v>
      </c>
      <c r="Y195" s="1009">
        <v>15665335.915765081</v>
      </c>
      <c r="Z195" s="1009">
        <v>16305606.570839643</v>
      </c>
      <c r="AA195" s="1009">
        <v>16996514.950591002</v>
      </c>
      <c r="AB195" s="1014"/>
    </row>
    <row r="196" spans="2:28" x14ac:dyDescent="0.3">
      <c r="B196" s="863" t="s">
        <v>340</v>
      </c>
      <c r="C196" s="1002">
        <v>1562523.9957263423</v>
      </c>
      <c r="D196" s="1002">
        <v>1600871.3787337088</v>
      </c>
      <c r="E196" s="1002">
        <v>1645843.1632067251</v>
      </c>
      <c r="F196" s="1002">
        <v>1698916.9610423807</v>
      </c>
      <c r="G196" s="1004"/>
      <c r="H196" s="1004"/>
      <c r="I196" s="1004"/>
      <c r="J196" s="1004"/>
      <c r="R196" s="1015"/>
      <c r="S196" s="863" t="s">
        <v>337</v>
      </c>
      <c r="T196" s="1011">
        <v>282524.41931470926</v>
      </c>
      <c r="U196" s="1011">
        <v>294271.91715962358</v>
      </c>
      <c r="V196" s="1011">
        <v>310112.87051546352</v>
      </c>
      <c r="W196" s="1011">
        <v>327026.51723508455</v>
      </c>
      <c r="X196" s="1009">
        <v>16857843.326677311</v>
      </c>
      <c r="Y196" s="1009">
        <v>17531078.065993767</v>
      </c>
      <c r="Z196" s="1009">
        <v>18471876.798794687</v>
      </c>
      <c r="AA196" s="1009">
        <v>19477954.837544903</v>
      </c>
      <c r="AB196" s="1014"/>
    </row>
    <row r="197" spans="2:28" x14ac:dyDescent="0.3">
      <c r="B197" s="863" t="s">
        <v>341</v>
      </c>
      <c r="C197" s="1002">
        <v>6483443.2850522343</v>
      </c>
      <c r="D197" s="1002">
        <v>6613233.2563599739</v>
      </c>
      <c r="E197" s="1002">
        <v>6827980.6687971484</v>
      </c>
      <c r="F197" s="1002">
        <v>6987079.8495864198</v>
      </c>
      <c r="G197" s="1004"/>
      <c r="H197" s="1004"/>
      <c r="I197" s="1004"/>
      <c r="J197" s="1004"/>
      <c r="R197" s="1015"/>
      <c r="S197" s="863" t="s">
        <v>338</v>
      </c>
      <c r="T197" s="1011">
        <v>205469.52551121431</v>
      </c>
      <c r="U197" s="1011">
        <v>211618.31645339687</v>
      </c>
      <c r="V197" s="1011">
        <v>218433.9540459984</v>
      </c>
      <c r="W197" s="1011">
        <v>226011.03864147511</v>
      </c>
      <c r="X197" s="1009">
        <v>8625474.3040976543</v>
      </c>
      <c r="Y197" s="1009">
        <v>8881522.1390169337</v>
      </c>
      <c r="Z197" s="1009">
        <v>9165008.9169527981</v>
      </c>
      <c r="AA197" s="1009">
        <v>9479790.356382573</v>
      </c>
      <c r="AB197" s="1014"/>
    </row>
    <row r="198" spans="2:28" x14ac:dyDescent="0.3">
      <c r="B198" s="863" t="s">
        <v>342</v>
      </c>
      <c r="C198" s="1002">
        <v>4024320.2061845176</v>
      </c>
      <c r="D198" s="1002">
        <v>4074679.96523338</v>
      </c>
      <c r="E198" s="1002">
        <v>4147918.6150852721</v>
      </c>
      <c r="F198" s="1002">
        <v>4215209.0612717438</v>
      </c>
      <c r="G198" s="1004"/>
      <c r="H198" s="1004"/>
      <c r="I198" s="1004"/>
      <c r="J198" s="1004"/>
      <c r="R198" s="1015"/>
      <c r="S198" s="863" t="s">
        <v>339</v>
      </c>
      <c r="T198" s="1011">
        <v>180405.99361071619</v>
      </c>
      <c r="U198" s="1011">
        <v>185931.70319884759</v>
      </c>
      <c r="V198" s="1011">
        <v>193334.29589141495</v>
      </c>
      <c r="W198" s="1011">
        <v>200726.63116467412</v>
      </c>
      <c r="X198" s="1009">
        <v>8728377.877203377</v>
      </c>
      <c r="Y198" s="1009">
        <v>8974837.5018969625</v>
      </c>
      <c r="Z198" s="1009">
        <v>9303627.4128658399</v>
      </c>
      <c r="AA198" s="1009">
        <v>9632548.9297613464</v>
      </c>
      <c r="AB198" s="1014"/>
    </row>
    <row r="199" spans="2:28" x14ac:dyDescent="0.3">
      <c r="B199" s="863" t="s">
        <v>343</v>
      </c>
      <c r="C199" s="1002">
        <v>3414485.2493391605</v>
      </c>
      <c r="D199" s="1002">
        <v>3465792.7055177884</v>
      </c>
      <c r="E199" s="1002">
        <v>3548039.4787442754</v>
      </c>
      <c r="F199" s="1002">
        <v>3628563.4893186521</v>
      </c>
      <c r="G199" s="1004"/>
      <c r="H199" s="1004"/>
      <c r="I199" s="1004"/>
      <c r="J199" s="1004"/>
      <c r="R199" s="1015"/>
      <c r="S199" s="863" t="s">
        <v>340</v>
      </c>
      <c r="T199" s="1011">
        <v>263285.48749519174</v>
      </c>
      <c r="U199" s="1011">
        <v>270273.47450931161</v>
      </c>
      <c r="V199" s="1011">
        <v>278030.39789113682</v>
      </c>
      <c r="W199" s="1011">
        <v>287073.02446287527</v>
      </c>
      <c r="X199" s="1009">
        <v>11881412.824564323</v>
      </c>
      <c r="Y199" s="1009">
        <v>12183415.729680039</v>
      </c>
      <c r="Z199" s="1009">
        <v>12518090.114567863</v>
      </c>
      <c r="AA199" s="1009">
        <v>12907587.769059565</v>
      </c>
      <c r="AB199" s="1014"/>
    </row>
    <row r="200" spans="2:28" x14ac:dyDescent="0.3">
      <c r="B200" s="863" t="s">
        <v>344</v>
      </c>
      <c r="C200" s="1002">
        <v>5449633.9271323076</v>
      </c>
      <c r="D200" s="1002">
        <v>5600175.0445405813</v>
      </c>
      <c r="E200" s="1002">
        <v>5931693.5667554326</v>
      </c>
      <c r="F200" s="1002">
        <v>6231917.8279088289</v>
      </c>
      <c r="G200" s="1004"/>
      <c r="H200" s="1004"/>
      <c r="I200" s="1004"/>
      <c r="J200" s="1004"/>
      <c r="R200" s="1015"/>
      <c r="S200" s="863" t="s">
        <v>341</v>
      </c>
      <c r="T200" s="1011">
        <v>444943.4850712925</v>
      </c>
      <c r="U200" s="1011">
        <v>461535.22062918026</v>
      </c>
      <c r="V200" s="1011">
        <v>483073.8000217519</v>
      </c>
      <c r="W200" s="1033">
        <v>501182.33678860561</v>
      </c>
      <c r="X200" s="1009">
        <v>19437526.768037081</v>
      </c>
      <c r="Y200" s="1009">
        <v>20148970.866213314</v>
      </c>
      <c r="Z200" s="1009">
        <v>21078831.571926475</v>
      </c>
      <c r="AA200" s="1032">
        <v>21864846.541440148</v>
      </c>
      <c r="AB200" s="1014"/>
    </row>
    <row r="201" spans="2:28" x14ac:dyDescent="0.3">
      <c r="B201" s="863" t="s">
        <v>345</v>
      </c>
      <c r="C201" s="1002">
        <v>1337300.412015799</v>
      </c>
      <c r="D201" s="1002">
        <v>1361813.3233269139</v>
      </c>
      <c r="E201" s="1002">
        <v>1388828.956552824</v>
      </c>
      <c r="F201" s="1002">
        <v>1420155.913416934</v>
      </c>
      <c r="G201" s="1004"/>
      <c r="H201" s="1004"/>
      <c r="I201" s="1004"/>
      <c r="J201" s="1004"/>
      <c r="R201" s="1015"/>
      <c r="S201" s="863" t="s">
        <v>342</v>
      </c>
      <c r="T201" s="1011">
        <v>372435.31514209014</v>
      </c>
      <c r="U201" s="1011">
        <v>382778.82254244003</v>
      </c>
      <c r="V201" s="1011">
        <v>395311.06840655953</v>
      </c>
      <c r="W201" s="1011">
        <v>407555.27227288444</v>
      </c>
      <c r="X201" s="1009">
        <v>15669269.595996255</v>
      </c>
      <c r="Y201" s="1009">
        <v>16104693.296107512</v>
      </c>
      <c r="Z201" s="1009">
        <v>16633883.840346329</v>
      </c>
      <c r="AA201" s="1009">
        <v>17153053.01065962</v>
      </c>
      <c r="AB201" s="1014"/>
    </row>
    <row r="202" spans="2:28" x14ac:dyDescent="0.3">
      <c r="B202" s="863" t="s">
        <v>346</v>
      </c>
      <c r="C202" s="1002">
        <v>2110049.5505893887</v>
      </c>
      <c r="D202" s="1002">
        <v>2115525.8565631821</v>
      </c>
      <c r="E202" s="1002">
        <v>2124107.9393514548</v>
      </c>
      <c r="F202" s="1002">
        <v>2134328.727775841</v>
      </c>
      <c r="G202" s="1004"/>
      <c r="H202" s="1004"/>
      <c r="I202" s="1004"/>
      <c r="J202" s="1004"/>
      <c r="R202" s="1015"/>
      <c r="S202" s="863" t="s">
        <v>343</v>
      </c>
      <c r="T202" s="1011">
        <v>275243.2812026192</v>
      </c>
      <c r="U202" s="1011">
        <v>282711.94694955717</v>
      </c>
      <c r="V202" s="1011">
        <v>292038.0770968346</v>
      </c>
      <c r="W202" s="1011">
        <v>301505.66087438364</v>
      </c>
      <c r="X202" s="1009">
        <v>12240596.037991896</v>
      </c>
      <c r="Y202" s="1009">
        <v>12557713.61578647</v>
      </c>
      <c r="Z202" s="1009">
        <v>12957759.900738824</v>
      </c>
      <c r="AA202" s="1009">
        <v>13364637.926583774</v>
      </c>
      <c r="AB202" s="1014"/>
    </row>
    <row r="203" spans="2:28" x14ac:dyDescent="0.3">
      <c r="B203" s="863" t="s">
        <v>347</v>
      </c>
      <c r="C203" s="1002">
        <v>1204328.8773361575</v>
      </c>
      <c r="D203" s="1002">
        <v>1236577.6145105315</v>
      </c>
      <c r="E203" s="1002">
        <v>1281930.7767211194</v>
      </c>
      <c r="F203" s="1002">
        <v>1316968.8680092162</v>
      </c>
      <c r="G203" s="1004"/>
      <c r="H203" s="1004"/>
      <c r="I203" s="1004"/>
      <c r="J203" s="1004"/>
      <c r="R203" s="1015"/>
      <c r="S203" s="863" t="s">
        <v>344</v>
      </c>
      <c r="T203" s="1011">
        <v>354364.58359448402</v>
      </c>
      <c r="U203" s="1011">
        <v>368073.09199237055</v>
      </c>
      <c r="V203" s="1011">
        <v>390722.98357768997</v>
      </c>
      <c r="W203" s="1011">
        <v>411544.49015030812</v>
      </c>
      <c r="X203" s="1009">
        <v>17137000.133997668</v>
      </c>
      <c r="Y203" s="1009">
        <v>17750290.269561056</v>
      </c>
      <c r="Z203" s="1009">
        <v>18791895.098461173</v>
      </c>
      <c r="AA203" s="1009">
        <v>19752945.383793734</v>
      </c>
      <c r="AB203" s="1014"/>
    </row>
    <row r="204" spans="2:28" x14ac:dyDescent="0.3">
      <c r="B204" s="863" t="s">
        <v>348</v>
      </c>
      <c r="C204" s="1002">
        <v>1352111.9551293808</v>
      </c>
      <c r="D204" s="1002">
        <v>1361739.8643368853</v>
      </c>
      <c r="E204" s="1002">
        <v>1375420.2358772613</v>
      </c>
      <c r="F204" s="1002">
        <v>1383480.3408073653</v>
      </c>
      <c r="G204" s="1004"/>
      <c r="H204" s="1004"/>
      <c r="I204" s="1004"/>
      <c r="J204" s="1004"/>
      <c r="R204" s="1015"/>
      <c r="S204" s="863" t="s">
        <v>345</v>
      </c>
      <c r="T204" s="1011">
        <v>205462.5193948512</v>
      </c>
      <c r="U204" s="1011">
        <v>209142.47860198678</v>
      </c>
      <c r="V204" s="1011">
        <v>213106.11399518812</v>
      </c>
      <c r="W204" s="1011">
        <v>217610.47857779317</v>
      </c>
      <c r="X204" s="1009">
        <v>8700807.5321963057</v>
      </c>
      <c r="Y204" s="1009">
        <v>8877871.6827402133</v>
      </c>
      <c r="Z204" s="1009">
        <v>9068724.4929481</v>
      </c>
      <c r="AA204" s="1009">
        <v>9284199.5246065296</v>
      </c>
      <c r="AB204" s="1014"/>
    </row>
    <row r="205" spans="2:28" x14ac:dyDescent="0.3">
      <c r="B205" s="863" t="s">
        <v>349</v>
      </c>
      <c r="C205" s="1002">
        <v>1973549.0895502332</v>
      </c>
      <c r="D205" s="1002">
        <v>1984988.1788236981</v>
      </c>
      <c r="E205" s="1002">
        <v>2000247.3234227395</v>
      </c>
      <c r="F205" s="1002">
        <v>2019169.7806479097</v>
      </c>
      <c r="G205" s="1004"/>
      <c r="H205" s="1004"/>
      <c r="I205" s="1004"/>
      <c r="J205" s="1004"/>
      <c r="R205" s="1015"/>
      <c r="S205" s="863" t="s">
        <v>346</v>
      </c>
      <c r="T205" s="1011">
        <v>136795.23650740131</v>
      </c>
      <c r="U205" s="1011">
        <v>137975.24133687609</v>
      </c>
      <c r="V205" s="1011">
        <v>139262.01585845283</v>
      </c>
      <c r="W205" s="1011">
        <v>140690.65401210581</v>
      </c>
      <c r="X205" s="1009">
        <v>8203056.8025164902</v>
      </c>
      <c r="Y205" s="1009">
        <v>8256839.6801718231</v>
      </c>
      <c r="Z205" s="1009">
        <v>8316470.2179524023</v>
      </c>
      <c r="AA205" s="1009">
        <v>8382807.6127079781</v>
      </c>
      <c r="AB205" s="1014"/>
    </row>
    <row r="206" spans="2:28" ht="15" thickBot="1" x14ac:dyDescent="0.35">
      <c r="B206" s="877" t="s">
        <v>350</v>
      </c>
      <c r="C206" s="1002">
        <v>1952274.0188549107</v>
      </c>
      <c r="D206" s="1002">
        <v>1970443.847210035</v>
      </c>
      <c r="E206" s="1002">
        <v>1996690.2591667452</v>
      </c>
      <c r="F206" s="1002">
        <v>2018562.2578278624</v>
      </c>
      <c r="G206" s="1004"/>
      <c r="H206" s="1004"/>
      <c r="I206" s="1004"/>
      <c r="J206" s="1004"/>
      <c r="R206" s="1015"/>
      <c r="S206" s="863" t="s">
        <v>347</v>
      </c>
      <c r="T206" s="1011">
        <v>118755.03680776636</v>
      </c>
      <c r="U206" s="1011">
        <v>122697.80511040057</v>
      </c>
      <c r="V206" s="1011">
        <v>127915.23345006147</v>
      </c>
      <c r="W206" s="1033">
        <v>132177.14700030597</v>
      </c>
      <c r="X206" s="1009">
        <v>4997118.7511682957</v>
      </c>
      <c r="Y206" s="1009">
        <v>5153800.0264580343</v>
      </c>
      <c r="Z206" s="1009">
        <v>5360183.9621618614</v>
      </c>
      <c r="AA206" s="1032">
        <v>5529725.3741212599</v>
      </c>
      <c r="AB206" s="1014"/>
    </row>
    <row r="207" spans="2:28" ht="15" thickTop="1" x14ac:dyDescent="0.3">
      <c r="B207" s="879" t="s">
        <v>351</v>
      </c>
      <c r="C207" s="1002">
        <f>SUM(C186:C206)</f>
        <v>78771316.980906621</v>
      </c>
      <c r="D207" s="1002">
        <f t="shared" ref="D207" si="114">SUM(D186:D206)</f>
        <v>80251072.60190174</v>
      </c>
      <c r="E207" s="1002">
        <f t="shared" ref="E207" si="115">SUM(E186:E206)</f>
        <v>82618050.149028569</v>
      </c>
      <c r="F207" s="1002">
        <f t="shared" ref="F207" si="116">SUM(F186:F206)</f>
        <v>84906484.677925318</v>
      </c>
      <c r="G207" s="1002">
        <f t="shared" ref="G207" si="117">SUM(G186:G206)</f>
        <v>0</v>
      </c>
      <c r="H207" s="1002">
        <f t="shared" ref="H207" si="118">SUM(H186:H206)</f>
        <v>0</v>
      </c>
      <c r="I207" s="1002">
        <f t="shared" ref="I207" si="119">SUM(I186:I206)</f>
        <v>0</v>
      </c>
      <c r="J207" s="1002">
        <f t="shared" ref="J207" si="120">SUM(J186:J206)</f>
        <v>0</v>
      </c>
      <c r="R207" s="1015"/>
      <c r="S207" s="863" t="s">
        <v>348</v>
      </c>
      <c r="T207" s="1011">
        <v>148894.85321037786</v>
      </c>
      <c r="U207" s="1011">
        <v>150980.03722032128</v>
      </c>
      <c r="V207" s="1011">
        <v>153648.25284071837</v>
      </c>
      <c r="W207" s="1011">
        <v>155517.26162514457</v>
      </c>
      <c r="X207" s="1009">
        <v>7414507.1534345131</v>
      </c>
      <c r="Y207" s="1009">
        <v>7505258.7611688599</v>
      </c>
      <c r="Z207" s="1009">
        <v>7621360.3378586583</v>
      </c>
      <c r="AA207" s="1009">
        <v>7703630.6897009406</v>
      </c>
      <c r="AB207" s="1014"/>
    </row>
    <row r="208" spans="2:28" x14ac:dyDescent="0.3">
      <c r="R208" s="1015"/>
      <c r="S208" s="863" t="s">
        <v>349</v>
      </c>
      <c r="T208" s="1011">
        <v>133057.97038138175</v>
      </c>
      <c r="U208" s="1011">
        <v>136246.90603468739</v>
      </c>
      <c r="V208" s="1011">
        <v>139801.59856125893</v>
      </c>
      <c r="W208" s="1011">
        <v>143743.41381048266</v>
      </c>
      <c r="X208" s="1009">
        <v>6580593.8660675688</v>
      </c>
      <c r="Y208" s="1009">
        <v>6731526.5465739751</v>
      </c>
      <c r="Z208" s="1009">
        <v>6900325.673293205</v>
      </c>
      <c r="AA208" s="1009">
        <v>7087942.7216851581</v>
      </c>
      <c r="AB208" s="1014"/>
    </row>
    <row r="209" spans="3:28" ht="15" thickBot="1" x14ac:dyDescent="0.35">
      <c r="R209" s="1015"/>
      <c r="S209" s="877" t="s">
        <v>350</v>
      </c>
      <c r="T209" s="1011">
        <v>154087.10300612196</v>
      </c>
      <c r="U209" s="1011">
        <v>155810.3227301946</v>
      </c>
      <c r="V209" s="1011">
        <v>157821.99339014982</v>
      </c>
      <c r="W209" s="1011">
        <v>159619.74169906855</v>
      </c>
      <c r="X209" s="1009">
        <v>8067633.6644707713</v>
      </c>
      <c r="Y209" s="1009">
        <v>8152154.6386357872</v>
      </c>
      <c r="Z209" s="1009">
        <v>8252611.71542479</v>
      </c>
      <c r="AA209" s="1009">
        <v>8342036.2546699056</v>
      </c>
      <c r="AB209" s="1014"/>
    </row>
    <row r="210" spans="3:28" ht="15" thickTop="1" x14ac:dyDescent="0.3">
      <c r="R210" s="1015"/>
      <c r="S210" s="879" t="s">
        <v>351</v>
      </c>
      <c r="T210" s="1011">
        <v>5152300.7662797002</v>
      </c>
      <c r="U210" s="1011">
        <v>5285756.2637840742</v>
      </c>
      <c r="V210" s="1011">
        <v>5459231.4435583111</v>
      </c>
      <c r="W210" s="1011">
        <v>5628814.3885994721</v>
      </c>
      <c r="X210" s="866">
        <v>248981248.37265724</v>
      </c>
      <c r="Y210" s="866">
        <v>255296079.22144619</v>
      </c>
      <c r="Z210" s="866">
        <v>263589040.7453267</v>
      </c>
      <c r="AA210" s="866">
        <v>271766384.60602176</v>
      </c>
      <c r="AB210" s="1014"/>
    </row>
    <row r="211" spans="3:28" x14ac:dyDescent="0.3">
      <c r="R211" s="1015"/>
      <c r="S211" s="1015"/>
      <c r="T211" s="1015"/>
      <c r="U211" s="1015"/>
      <c r="V211" s="1015"/>
      <c r="W211" s="1015"/>
      <c r="X211" s="1015"/>
      <c r="Y211" s="1015"/>
      <c r="Z211" s="1015"/>
      <c r="AA211" s="1015"/>
      <c r="AB211" s="1014"/>
    </row>
    <row r="212" spans="3:28" x14ac:dyDescent="0.3">
      <c r="R212" s="1015"/>
      <c r="S212" s="1015"/>
      <c r="T212" s="1015"/>
      <c r="U212" s="1015"/>
      <c r="V212" s="1015"/>
      <c r="W212" s="1015"/>
      <c r="X212" s="1015"/>
      <c r="Y212" s="1015"/>
      <c r="Z212" s="1015"/>
      <c r="AA212" s="1015"/>
      <c r="AB212" s="1012"/>
    </row>
    <row r="213" spans="3:28" x14ac:dyDescent="0.3">
      <c r="S213" s="1015"/>
      <c r="T213" s="1015"/>
      <c r="U213" s="1015"/>
      <c r="V213" s="1015"/>
      <c r="W213" s="1015"/>
      <c r="X213" s="1015"/>
      <c r="Y213" s="1015"/>
      <c r="Z213" s="1015"/>
      <c r="AA213" s="1015"/>
      <c r="AB213" s="1012"/>
    </row>
    <row r="222" spans="3:28" ht="28.8" x14ac:dyDescent="0.3">
      <c r="C222" s="882" t="s">
        <v>207</v>
      </c>
      <c r="D222" s="858" t="s">
        <v>1346</v>
      </c>
      <c r="E222" s="858" t="s">
        <v>1360</v>
      </c>
      <c r="F222" s="858" t="s">
        <v>1347</v>
      </c>
      <c r="G222" s="858" t="s">
        <v>212</v>
      </c>
      <c r="H222" s="858" t="s">
        <v>163</v>
      </c>
    </row>
    <row r="223" spans="3:28" x14ac:dyDescent="0.3">
      <c r="C223" s="857" t="s">
        <v>351</v>
      </c>
      <c r="D223" s="884">
        <f>D217</f>
        <v>0</v>
      </c>
      <c r="E223" s="884">
        <f>E217</f>
        <v>0</v>
      </c>
      <c r="F223" s="884">
        <f>F217</f>
        <v>0</v>
      </c>
      <c r="G223" s="884">
        <f>SUM(G217:I217)</f>
        <v>0</v>
      </c>
      <c r="H223" s="884">
        <f>J217</f>
        <v>0</v>
      </c>
    </row>
  </sheetData>
  <mergeCells count="33">
    <mergeCell ref="X187:AA187"/>
    <mergeCell ref="C184:F184"/>
    <mergeCell ref="G184:J184"/>
    <mergeCell ref="Q104:T104"/>
    <mergeCell ref="W104:Z104"/>
    <mergeCell ref="C158:F158"/>
    <mergeCell ref="G158:J158"/>
    <mergeCell ref="C131:F131"/>
    <mergeCell ref="G131:J131"/>
    <mergeCell ref="W131:Z131"/>
    <mergeCell ref="C104:F104"/>
    <mergeCell ref="G104:J104"/>
    <mergeCell ref="M131:P131"/>
    <mergeCell ref="Q131:T131"/>
    <mergeCell ref="M104:P104"/>
    <mergeCell ref="C50:F50"/>
    <mergeCell ref="I50:P50"/>
    <mergeCell ref="D76:G76"/>
    <mergeCell ref="J76:O76"/>
    <mergeCell ref="T187:W187"/>
    <mergeCell ref="B2:J2"/>
    <mergeCell ref="B3:B4"/>
    <mergeCell ref="C3:C4"/>
    <mergeCell ref="D3:D4"/>
    <mergeCell ref="E3:E4"/>
    <mergeCell ref="F3:H3"/>
    <mergeCell ref="I3:I4"/>
    <mergeCell ref="J3:J4"/>
    <mergeCell ref="L5:O5"/>
    <mergeCell ref="M158:P158"/>
    <mergeCell ref="S158:V158"/>
    <mergeCell ref="Y158:AB158"/>
    <mergeCell ref="Y6:AB6"/>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8"/>
  <sheetViews>
    <sheetView workbookViewId="0">
      <selection activeCell="H5" sqref="H5"/>
    </sheetView>
  </sheetViews>
  <sheetFormatPr defaultRowHeight="13.2" x14ac:dyDescent="0.25"/>
  <cols>
    <col min="1" max="1" width="11.88671875" customWidth="1"/>
    <col min="2" max="2" width="9.88671875" customWidth="1"/>
    <col min="3" max="3" width="9.6640625" customWidth="1"/>
    <col min="4" max="4" width="11.5546875" customWidth="1"/>
    <col min="5" max="5" width="12.88671875" customWidth="1"/>
    <col min="6" max="6" width="11.109375" customWidth="1"/>
    <col min="11" max="12" width="9.109375" bestFit="1" customWidth="1"/>
  </cols>
  <sheetData>
    <row r="2" spans="1:12" ht="15" x14ac:dyDescent="0.25">
      <c r="A2" s="1229" t="s">
        <v>1564</v>
      </c>
      <c r="B2" s="1230"/>
      <c r="C2" s="1230"/>
      <c r="D2" s="1230"/>
      <c r="E2" s="1230"/>
      <c r="F2" s="1230"/>
    </row>
    <row r="3" spans="1:12" x14ac:dyDescent="0.25">
      <c r="A3" s="1223" t="s">
        <v>322</v>
      </c>
      <c r="B3" s="1228" t="s">
        <v>1558</v>
      </c>
      <c r="C3" s="1228"/>
      <c r="D3" s="1228"/>
      <c r="E3" s="1228"/>
      <c r="F3" s="1228"/>
    </row>
    <row r="4" spans="1:12" ht="26.4" x14ac:dyDescent="0.25">
      <c r="A4" s="1223"/>
      <c r="B4" s="1056" t="s">
        <v>213</v>
      </c>
      <c r="C4" s="1056" t="s">
        <v>1561</v>
      </c>
      <c r="D4" s="1057" t="s">
        <v>1054</v>
      </c>
      <c r="E4" s="1058" t="s">
        <v>1349</v>
      </c>
      <c r="F4" s="1057" t="s">
        <v>409</v>
      </c>
      <c r="J4" s="1231" t="s">
        <v>1562</v>
      </c>
      <c r="K4" s="1232"/>
      <c r="L4" s="1233"/>
    </row>
    <row r="5" spans="1:12" ht="14.4" x14ac:dyDescent="0.3">
      <c r="A5" s="860" t="s">
        <v>403</v>
      </c>
      <c r="B5" s="954">
        <f>'Charts &amp; Tables'!F5</f>
        <v>37946.602499999994</v>
      </c>
      <c r="C5" s="954">
        <v>84846.086702400004</v>
      </c>
      <c r="D5" s="1052">
        <f>K5-C5</f>
        <v>1523.6088440000021</v>
      </c>
      <c r="E5" s="954">
        <f>'Charts &amp; Tables'!H5</f>
        <v>20944.182400000005</v>
      </c>
      <c r="F5" s="954">
        <f>SUM(B5:E5)</f>
        <v>145260.4804464</v>
      </c>
      <c r="J5" s="837"/>
      <c r="K5" s="1050">
        <v>86369.695546400006</v>
      </c>
      <c r="L5" s="837"/>
    </row>
    <row r="6" spans="1:12" ht="14.4" x14ac:dyDescent="0.3">
      <c r="A6" s="863" t="s">
        <v>325</v>
      </c>
      <c r="B6" s="954">
        <f>'Charts &amp; Tables'!F6</f>
        <v>166837.16649999999</v>
      </c>
      <c r="C6" s="954">
        <v>195159.15290400002</v>
      </c>
      <c r="D6" s="1052">
        <f t="shared" ref="D6:D25" si="0">K6-C6</f>
        <v>22668.909484000003</v>
      </c>
      <c r="E6" s="954">
        <f>'Charts &amp; Tables'!H6</f>
        <v>86592.899200000014</v>
      </c>
      <c r="F6" s="954">
        <f t="shared" ref="F6:F25" si="1">SUM(B6:E6)</f>
        <v>471258.128088</v>
      </c>
      <c r="G6" s="384"/>
      <c r="J6" s="837"/>
      <c r="K6" s="954">
        <v>217828.06238800002</v>
      </c>
      <c r="L6" s="837"/>
    </row>
    <row r="7" spans="1:12" ht="14.4" x14ac:dyDescent="0.3">
      <c r="A7" s="863" t="s">
        <v>328</v>
      </c>
      <c r="B7" s="954">
        <f>'Charts &amp; Tables'!F7</f>
        <v>77961.870500000005</v>
      </c>
      <c r="C7" s="954">
        <v>95210.380593199981</v>
      </c>
      <c r="D7" s="1052">
        <f t="shared" si="0"/>
        <v>17208.575971999991</v>
      </c>
      <c r="E7" s="954">
        <f>'Charts &amp; Tables'!H7</f>
        <v>23711.446400000004</v>
      </c>
      <c r="F7" s="954">
        <f t="shared" si="1"/>
        <v>214092.27346520001</v>
      </c>
      <c r="J7" s="837"/>
      <c r="K7" s="954">
        <v>112418.95656519997</v>
      </c>
      <c r="L7" s="837"/>
    </row>
    <row r="8" spans="1:12" ht="14.4" x14ac:dyDescent="0.3">
      <c r="A8" s="863" t="s">
        <v>331</v>
      </c>
      <c r="B8" s="954">
        <f>'Charts &amp; Tables'!F8</f>
        <v>75827.284499999994</v>
      </c>
      <c r="C8" s="954">
        <v>30227.090116399995</v>
      </c>
      <c r="D8" s="1052">
        <f t="shared" si="0"/>
        <v>99732.072624000008</v>
      </c>
      <c r="E8" s="954">
        <f>'Charts &amp; Tables'!H8</f>
        <v>20582.972800000003</v>
      </c>
      <c r="F8" s="954">
        <f t="shared" si="1"/>
        <v>226369.4200404</v>
      </c>
      <c r="J8" s="837"/>
      <c r="K8" s="954">
        <v>129959.1627404</v>
      </c>
      <c r="L8" s="837"/>
    </row>
    <row r="9" spans="1:12" ht="14.4" x14ac:dyDescent="0.3">
      <c r="A9" s="863" t="s">
        <v>333</v>
      </c>
      <c r="B9" s="954">
        <f>'Charts &amp; Tables'!F9</f>
        <v>22539.174000000003</v>
      </c>
      <c r="C9" s="954">
        <v>32504.888731200001</v>
      </c>
      <c r="D9" s="1052">
        <f t="shared" si="0"/>
        <v>5.6074120000012044</v>
      </c>
      <c r="E9" s="954">
        <f>'Charts &amp; Tables'!H9</f>
        <v>21896.950400000002</v>
      </c>
      <c r="F9" s="954">
        <f t="shared" si="1"/>
        <v>76946.620543199999</v>
      </c>
      <c r="J9" s="837"/>
      <c r="K9" s="954">
        <v>32510.496143200002</v>
      </c>
      <c r="L9" s="837"/>
    </row>
    <row r="10" spans="1:12" ht="14.4" x14ac:dyDescent="0.3">
      <c r="A10" s="863" t="s">
        <v>335</v>
      </c>
      <c r="B10" s="954">
        <f>'Charts &amp; Tables'!F10</f>
        <v>34772.178</v>
      </c>
      <c r="C10" s="954">
        <v>40639.464886400005</v>
      </c>
      <c r="D10" s="1052">
        <f t="shared" si="0"/>
        <v>59.002831999991031</v>
      </c>
      <c r="E10" s="954">
        <f>'Charts &amp; Tables'!H10</f>
        <v>6815.2128000000012</v>
      </c>
      <c r="F10" s="954">
        <f t="shared" si="1"/>
        <v>82285.858518399997</v>
      </c>
      <c r="J10" s="837"/>
      <c r="K10" s="954">
        <v>40698.467718399996</v>
      </c>
      <c r="L10" s="837"/>
    </row>
    <row r="11" spans="1:12" ht="14.4" x14ac:dyDescent="0.3">
      <c r="A11" s="863" t="s">
        <v>336</v>
      </c>
      <c r="B11" s="954">
        <f>'Charts &amp; Tables'!F11</f>
        <v>112229.36249999999</v>
      </c>
      <c r="C11" s="954">
        <v>36170.632535599994</v>
      </c>
      <c r="D11" s="1052">
        <f t="shared" si="0"/>
        <v>126022.01305200002</v>
      </c>
      <c r="E11" s="954">
        <f>'Charts &amp; Tables'!H11</f>
        <v>19283.440000000002</v>
      </c>
      <c r="F11" s="954">
        <f t="shared" si="1"/>
        <v>293705.4480876</v>
      </c>
      <c r="J11" s="837"/>
      <c r="K11" s="954">
        <v>162192.64558760001</v>
      </c>
      <c r="L11" s="837"/>
    </row>
    <row r="12" spans="1:12" ht="14.4" x14ac:dyDescent="0.3">
      <c r="A12" s="863" t="s">
        <v>337</v>
      </c>
      <c r="B12" s="954">
        <f>'Charts &amp; Tables'!F12</f>
        <v>76845.582500000004</v>
      </c>
      <c r="C12" s="954">
        <v>9064.4207856000012</v>
      </c>
      <c r="D12" s="1052">
        <f t="shared" si="0"/>
        <v>56666.648440000004</v>
      </c>
      <c r="E12" s="954">
        <f>'Charts &amp; Tables'!H12</f>
        <v>10686.140800000001</v>
      </c>
      <c r="F12" s="954">
        <f t="shared" si="1"/>
        <v>153262.7925256</v>
      </c>
      <c r="J12" s="837"/>
      <c r="K12" s="954">
        <v>65731.069225600004</v>
      </c>
      <c r="L12" s="837"/>
    </row>
    <row r="13" spans="1:12" ht="14.4" x14ac:dyDescent="0.3">
      <c r="A13" s="863" t="s">
        <v>338</v>
      </c>
      <c r="B13" s="954">
        <f>'Charts &amp; Tables'!F13</f>
        <v>114940.1395</v>
      </c>
      <c r="C13" s="954">
        <v>131772.91051040002</v>
      </c>
      <c r="D13" s="1052">
        <f t="shared" si="0"/>
        <v>334.08746399998199</v>
      </c>
      <c r="E13" s="954">
        <f>'Charts &amp; Tables'!H13</f>
        <v>25802.438399999999</v>
      </c>
      <c r="F13" s="954">
        <f t="shared" si="1"/>
        <v>272849.57587439998</v>
      </c>
      <c r="J13" s="837"/>
      <c r="K13" s="954">
        <v>132106.9979744</v>
      </c>
      <c r="L13" s="837"/>
    </row>
    <row r="14" spans="1:12" ht="14.4" x14ac:dyDescent="0.3">
      <c r="A14" s="863" t="s">
        <v>339</v>
      </c>
      <c r="B14" s="954">
        <f>'Charts &amp; Tables'!F14</f>
        <v>16168.502500000002</v>
      </c>
      <c r="C14" s="954">
        <v>17524.687573200004</v>
      </c>
      <c r="D14" s="1052">
        <f t="shared" si="0"/>
        <v>9682.3575879999989</v>
      </c>
      <c r="E14" s="954">
        <f>'Charts &amp; Tables'!H14</f>
        <v>8298.1792000000023</v>
      </c>
      <c r="F14" s="954">
        <f t="shared" si="1"/>
        <v>51673.726861200004</v>
      </c>
      <c r="J14" s="837"/>
      <c r="K14" s="954">
        <v>27207.045161200003</v>
      </c>
      <c r="L14" s="837"/>
    </row>
    <row r="15" spans="1:12" ht="14.4" x14ac:dyDescent="0.3">
      <c r="A15" s="863" t="s">
        <v>340</v>
      </c>
      <c r="B15" s="954">
        <f>'Charts &amp; Tables'!F15</f>
        <v>70080.870999999999</v>
      </c>
      <c r="C15" s="954">
        <v>84207.195322799991</v>
      </c>
      <c r="D15" s="1052">
        <f t="shared" si="0"/>
        <v>43.109212000010302</v>
      </c>
      <c r="E15" s="954">
        <f>'Charts &amp; Tables'!H15</f>
        <v>20757.116800000003</v>
      </c>
      <c r="F15" s="954">
        <f t="shared" si="1"/>
        <v>175088.2923348</v>
      </c>
      <c r="J15" s="837"/>
      <c r="K15" s="954">
        <v>84250.304534800001</v>
      </c>
      <c r="L15" s="837"/>
    </row>
    <row r="16" spans="1:12" ht="14.4" x14ac:dyDescent="0.3">
      <c r="A16" s="1035" t="s">
        <v>341</v>
      </c>
      <c r="B16" s="954">
        <f>'Charts &amp; Tables'!F16</f>
        <v>197132.77750000003</v>
      </c>
      <c r="C16" s="954">
        <v>190952.07597400001</v>
      </c>
      <c r="D16" s="1052">
        <f t="shared" si="0"/>
        <v>6668.8558040000207</v>
      </c>
      <c r="E16" s="954">
        <f>'Charts &amp; Tables'!H16</f>
        <v>31407.497599999999</v>
      </c>
      <c r="F16" s="954">
        <f t="shared" si="1"/>
        <v>426161.20687800006</v>
      </c>
      <c r="J16" s="837"/>
      <c r="K16" s="954">
        <v>197620.93177800003</v>
      </c>
      <c r="L16" s="837"/>
    </row>
    <row r="17" spans="1:13" ht="14.4" x14ac:dyDescent="0.3">
      <c r="A17" s="863" t="s">
        <v>342</v>
      </c>
      <c r="B17" s="954">
        <f>'Charts &amp; Tables'!F17</f>
        <v>99977.147000000026</v>
      </c>
      <c r="C17" s="954">
        <v>153487.57062119999</v>
      </c>
      <c r="D17" s="1052">
        <f t="shared" si="0"/>
        <v>122.8987560000096</v>
      </c>
      <c r="E17" s="954">
        <f>'Charts &amp; Tables'!H17</f>
        <v>64421.347200000011</v>
      </c>
      <c r="F17" s="954">
        <f t="shared" si="1"/>
        <v>318008.96357720002</v>
      </c>
      <c r="J17" s="837"/>
      <c r="K17" s="954">
        <v>153610.4693772</v>
      </c>
      <c r="L17" s="837"/>
    </row>
    <row r="18" spans="1:13" ht="14.4" x14ac:dyDescent="0.3">
      <c r="A18" s="863" t="s">
        <v>343</v>
      </c>
      <c r="B18" s="954">
        <f>'Charts &amp; Tables'!F18</f>
        <v>101477.8955</v>
      </c>
      <c r="C18" s="954">
        <v>101153.9837296</v>
      </c>
      <c r="D18" s="1052">
        <f t="shared" si="0"/>
        <v>4539.3607359999878</v>
      </c>
      <c r="E18" s="954">
        <f>'Charts &amp; Tables'!H18</f>
        <v>19766.307200000003</v>
      </c>
      <c r="F18" s="954">
        <f t="shared" si="1"/>
        <v>226937.54716560003</v>
      </c>
      <c r="J18" s="837"/>
      <c r="K18" s="954">
        <v>105693.34446559999</v>
      </c>
      <c r="L18" s="837"/>
    </row>
    <row r="19" spans="1:13" ht="14.4" x14ac:dyDescent="0.3">
      <c r="A19" s="863" t="s">
        <v>344</v>
      </c>
      <c r="B19" s="954">
        <f>'Charts &amp; Tables'!F19</f>
        <v>91930.809500000018</v>
      </c>
      <c r="C19" s="954">
        <v>139857.79142319999</v>
      </c>
      <c r="D19" s="1052">
        <f t="shared" si="0"/>
        <v>56.038403999991715</v>
      </c>
      <c r="E19" s="954">
        <f>'Charts &amp; Tables'!H19</f>
        <v>88560.502400000012</v>
      </c>
      <c r="F19" s="954">
        <f t="shared" si="1"/>
        <v>320405.14172720001</v>
      </c>
      <c r="J19" s="837"/>
      <c r="K19" s="954">
        <v>139913.82982719998</v>
      </c>
      <c r="L19" s="837"/>
    </row>
    <row r="20" spans="1:13" ht="14.4" x14ac:dyDescent="0.3">
      <c r="A20" s="863" t="s">
        <v>345</v>
      </c>
      <c r="B20" s="954">
        <f>'Charts &amp; Tables'!F20</f>
        <v>104048.74100000001</v>
      </c>
      <c r="C20" s="954">
        <v>119978.115816</v>
      </c>
      <c r="D20" s="1052">
        <f t="shared" si="0"/>
        <v>26905.041379999981</v>
      </c>
      <c r="E20" s="954">
        <f>'Charts &amp; Tables'!H20</f>
        <v>50443.353600000009</v>
      </c>
      <c r="F20" s="954">
        <f t="shared" si="1"/>
        <v>301375.251796</v>
      </c>
      <c r="J20" s="837"/>
      <c r="K20" s="954">
        <v>146883.15719599999</v>
      </c>
      <c r="L20" s="837"/>
    </row>
    <row r="21" spans="1:13" ht="14.4" x14ac:dyDescent="0.3">
      <c r="A21" s="863" t="s">
        <v>346</v>
      </c>
      <c r="B21" s="954">
        <f>'Charts &amp; Tables'!F21</f>
        <v>7506.5125000000007</v>
      </c>
      <c r="C21" s="954">
        <v>14300.707829600004</v>
      </c>
      <c r="D21" s="1052">
        <f t="shared" si="0"/>
        <v>40.609091999998782</v>
      </c>
      <c r="E21" s="954">
        <f>'Charts &amp; Tables'!H21</f>
        <v>2479.5776000000005</v>
      </c>
      <c r="F21" s="954">
        <f t="shared" si="1"/>
        <v>24327.407021600004</v>
      </c>
      <c r="J21" s="837"/>
      <c r="K21" s="954">
        <v>14341.316921600002</v>
      </c>
      <c r="L21" s="837"/>
    </row>
    <row r="22" spans="1:13" ht="14.4" x14ac:dyDescent="0.3">
      <c r="A22" s="863" t="s">
        <v>347</v>
      </c>
      <c r="B22" s="954">
        <f>'Charts &amp; Tables'!F22</f>
        <v>46273.167000000001</v>
      </c>
      <c r="C22" s="954">
        <v>71276.231809199991</v>
      </c>
      <c r="D22" s="1052">
        <f t="shared" si="0"/>
        <v>16725.409924000007</v>
      </c>
      <c r="E22" s="954">
        <f>'Charts &amp; Tables'!H22</f>
        <v>33212.150400000006</v>
      </c>
      <c r="F22" s="954">
        <f t="shared" si="1"/>
        <v>167486.95913320003</v>
      </c>
      <c r="J22" s="837"/>
      <c r="K22" s="954">
        <v>88001.641733199998</v>
      </c>
      <c r="L22" s="837"/>
    </row>
    <row r="23" spans="1:13" ht="14.4" x14ac:dyDescent="0.3">
      <c r="A23" s="863" t="s">
        <v>348</v>
      </c>
      <c r="B23" s="954">
        <f>'Charts &amp; Tables'!F23</f>
        <v>15610.903</v>
      </c>
      <c r="C23" s="954">
        <v>26895.915942</v>
      </c>
      <c r="D23" s="1052">
        <f t="shared" si="0"/>
        <v>1062.836728000002</v>
      </c>
      <c r="E23" s="954">
        <f>'Charts &amp; Tables'!H23</f>
        <v>3522.5440000000003</v>
      </c>
      <c r="F23" s="954">
        <f t="shared" si="1"/>
        <v>47092.199670000002</v>
      </c>
      <c r="J23" s="837"/>
      <c r="K23" s="954">
        <v>27958.752670000002</v>
      </c>
      <c r="L23" s="837"/>
    </row>
    <row r="24" spans="1:13" ht="14.4" x14ac:dyDescent="0.3">
      <c r="A24" s="1035" t="s">
        <v>349</v>
      </c>
      <c r="B24" s="954">
        <f>'Charts &amp; Tables'!F24</f>
        <v>43599.707999999999</v>
      </c>
      <c r="C24" s="954">
        <v>10201.578937999995</v>
      </c>
      <c r="D24" s="1052">
        <f t="shared" si="0"/>
        <v>114239.4118</v>
      </c>
      <c r="E24" s="954">
        <f>'Charts &amp; Tables'!H24</f>
        <v>22937.728000000003</v>
      </c>
      <c r="F24" s="954">
        <f t="shared" si="1"/>
        <v>190978.42673800001</v>
      </c>
      <c r="J24" s="837"/>
      <c r="K24" s="954">
        <v>124440.99073799999</v>
      </c>
      <c r="L24" s="837"/>
    </row>
    <row r="25" spans="1:13" ht="15" thickBot="1" x14ac:dyDescent="0.35">
      <c r="A25" s="877" t="s">
        <v>350</v>
      </c>
      <c r="B25" s="1051">
        <f>'Charts &amp; Tables'!F25</f>
        <v>11292.907999999999</v>
      </c>
      <c r="C25" s="1051">
        <v>5334.9524939999974</v>
      </c>
      <c r="D25" s="1053">
        <f t="shared" si="0"/>
        <v>18410.455088000002</v>
      </c>
      <c r="E25" s="1051">
        <f>'Charts &amp; Tables'!H25</f>
        <v>873.83360000000016</v>
      </c>
      <c r="F25" s="1051">
        <f t="shared" si="1"/>
        <v>35912.149181999994</v>
      </c>
      <c r="J25" s="837"/>
      <c r="K25" s="1051">
        <v>23745.407582</v>
      </c>
      <c r="L25" s="837"/>
    </row>
    <row r="26" spans="1:13" ht="15" thickTop="1" x14ac:dyDescent="0.3">
      <c r="A26" s="879" t="s">
        <v>351</v>
      </c>
      <c r="B26" s="1050">
        <f>SUM(B5:B25)</f>
        <v>1524999.3030000003</v>
      </c>
      <c r="C26" s="1050">
        <f t="shared" ref="C26:F26" si="2">SUM(C5:C25)</f>
        <v>1590765.8352379997</v>
      </c>
      <c r="D26" s="1054">
        <f t="shared" si="2"/>
        <v>522716.9106360001</v>
      </c>
      <c r="E26" s="1050">
        <f t="shared" si="2"/>
        <v>582995.8208000001</v>
      </c>
      <c r="F26" s="1050">
        <f t="shared" si="2"/>
        <v>4221477.869674</v>
      </c>
      <c r="K26" s="1050">
        <f>SUM(K5:K25)</f>
        <v>2113482.7458739998</v>
      </c>
      <c r="L26" s="837">
        <f>C26+D26</f>
        <v>2113482.7458739998</v>
      </c>
      <c r="M26" s="384" t="s">
        <v>1559</v>
      </c>
    </row>
    <row r="28" spans="1:13" ht="14.4" x14ac:dyDescent="0.3">
      <c r="A28" s="1059" t="s">
        <v>1563</v>
      </c>
    </row>
  </sheetData>
  <mergeCells count="4">
    <mergeCell ref="A3:A4"/>
    <mergeCell ref="B3:F3"/>
    <mergeCell ref="A2:F2"/>
    <mergeCell ref="J4:L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78"/>
  <sheetViews>
    <sheetView topLeftCell="A4" zoomScale="80" zoomScaleNormal="80" workbookViewId="0">
      <selection activeCell="C22" sqref="C22"/>
    </sheetView>
  </sheetViews>
  <sheetFormatPr defaultColWidth="8.88671875" defaultRowHeight="13.2" x14ac:dyDescent="0.25"/>
  <cols>
    <col min="1" max="1" width="45.6640625" customWidth="1"/>
    <col min="2" max="2" width="15.88671875" customWidth="1"/>
    <col min="3" max="3" width="10.109375" customWidth="1"/>
    <col min="4" max="4" width="8" customWidth="1"/>
    <col min="5" max="5" width="91.33203125" customWidth="1"/>
  </cols>
  <sheetData>
    <row r="1" spans="1:5" ht="14.4" thickBot="1" x14ac:dyDescent="0.3">
      <c r="A1" s="410" t="s">
        <v>266</v>
      </c>
      <c r="C1" s="91"/>
      <c r="D1" s="91"/>
      <c r="E1" s="91"/>
    </row>
    <row r="2" spans="1:5" ht="39.6" x14ac:dyDescent="0.25">
      <c r="A2" s="93" t="s">
        <v>265</v>
      </c>
      <c r="B2" s="101" t="s">
        <v>282</v>
      </c>
      <c r="C2" s="101" t="s">
        <v>283</v>
      </c>
      <c r="D2" s="94" t="s">
        <v>425</v>
      </c>
      <c r="E2" s="102" t="s">
        <v>430</v>
      </c>
    </row>
    <row r="3" spans="1:5" x14ac:dyDescent="0.25">
      <c r="A3" s="98" t="s">
        <v>511</v>
      </c>
      <c r="B3" s="1"/>
      <c r="C3" s="1"/>
      <c r="D3" s="1"/>
      <c r="E3" s="96"/>
    </row>
    <row r="4" spans="1:5" x14ac:dyDescent="0.25">
      <c r="A4" s="103" t="s">
        <v>519</v>
      </c>
      <c r="B4" s="90"/>
      <c r="C4" s="90"/>
      <c r="D4" s="1"/>
      <c r="E4" s="96" t="s">
        <v>234</v>
      </c>
    </row>
    <row r="5" spans="1:5" x14ac:dyDescent="0.25">
      <c r="A5" s="103" t="s">
        <v>520</v>
      </c>
      <c r="B5" s="90"/>
      <c r="C5" s="90"/>
      <c r="D5" s="1"/>
      <c r="E5" s="96" t="s">
        <v>234</v>
      </c>
    </row>
    <row r="6" spans="1:5" x14ac:dyDescent="0.25">
      <c r="A6" s="103" t="s">
        <v>521</v>
      </c>
      <c r="B6" s="90"/>
      <c r="C6" s="90"/>
      <c r="D6" s="1"/>
      <c r="E6" s="96" t="s">
        <v>234</v>
      </c>
    </row>
    <row r="7" spans="1:5" x14ac:dyDescent="0.25">
      <c r="A7" s="103" t="s">
        <v>522</v>
      </c>
      <c r="B7" s="90"/>
      <c r="C7" s="90"/>
      <c r="D7" s="1"/>
      <c r="E7" s="96" t="s">
        <v>234</v>
      </c>
    </row>
    <row r="8" spans="1:5" x14ac:dyDescent="0.25">
      <c r="A8" s="98" t="s">
        <v>301</v>
      </c>
      <c r="B8" s="24"/>
      <c r="C8" s="24"/>
      <c r="D8" s="1"/>
      <c r="E8" s="96"/>
    </row>
    <row r="9" spans="1:5" x14ac:dyDescent="0.25">
      <c r="A9" s="98" t="s">
        <v>507</v>
      </c>
      <c r="B9" s="24">
        <f>IF('Prac. Rec. Assumptions'!B56='Prac. Rec. Assumptions'!V1,'Energy Content Assumptions'!B62,IF('Prac. Rec. Assumptions'!B56='Prac. Rec. Assumptions'!V2,'Energy Content Assumptions'!B63,0))</f>
        <v>0</v>
      </c>
      <c r="C9" s="25">
        <v>0.5</v>
      </c>
      <c r="D9" s="1" t="s">
        <v>424</v>
      </c>
      <c r="E9" s="96" t="s">
        <v>90</v>
      </c>
    </row>
    <row r="10" spans="1:5" x14ac:dyDescent="0.25">
      <c r="A10" s="98" t="s">
        <v>504</v>
      </c>
      <c r="B10" s="1"/>
      <c r="C10" s="1"/>
      <c r="D10" s="1"/>
      <c r="E10" s="96"/>
    </row>
    <row r="11" spans="1:5" x14ac:dyDescent="0.25">
      <c r="A11" s="103" t="s">
        <v>527</v>
      </c>
      <c r="B11" s="24">
        <v>7866</v>
      </c>
      <c r="C11" s="25">
        <v>0.85</v>
      </c>
      <c r="D11" s="1" t="s">
        <v>424</v>
      </c>
      <c r="E11" s="104" t="s">
        <v>313</v>
      </c>
    </row>
    <row r="12" spans="1:5" x14ac:dyDescent="0.25">
      <c r="A12" s="103" t="s">
        <v>520</v>
      </c>
      <c r="B12" s="24">
        <v>7800</v>
      </c>
      <c r="C12" s="25">
        <v>0.85</v>
      </c>
      <c r="D12" s="1" t="s">
        <v>424</v>
      </c>
      <c r="E12" s="96" t="s">
        <v>268</v>
      </c>
    </row>
    <row r="13" spans="1:5" x14ac:dyDescent="0.25">
      <c r="A13" s="103" t="s">
        <v>521</v>
      </c>
      <c r="B13" s="24">
        <v>7866</v>
      </c>
      <c r="C13" s="25">
        <v>0.85</v>
      </c>
      <c r="D13" s="1" t="s">
        <v>424</v>
      </c>
      <c r="E13" s="104" t="s">
        <v>313</v>
      </c>
    </row>
    <row r="14" spans="1:5" x14ac:dyDescent="0.25">
      <c r="A14" s="103" t="s">
        <v>528</v>
      </c>
      <c r="B14" s="24">
        <v>7866</v>
      </c>
      <c r="C14" s="25">
        <v>0.35</v>
      </c>
      <c r="D14" s="1" t="s">
        <v>424</v>
      </c>
      <c r="E14" s="104" t="s">
        <v>313</v>
      </c>
    </row>
    <row r="15" spans="1:5" x14ac:dyDescent="0.25">
      <c r="A15" s="103" t="s">
        <v>529</v>
      </c>
      <c r="B15" s="24">
        <v>7800</v>
      </c>
      <c r="C15" s="25">
        <v>0.85</v>
      </c>
      <c r="D15" s="1" t="s">
        <v>424</v>
      </c>
      <c r="E15" s="96" t="s">
        <v>268</v>
      </c>
    </row>
    <row r="16" spans="1:5" x14ac:dyDescent="0.25">
      <c r="A16" s="103" t="s">
        <v>530</v>
      </c>
      <c r="B16" s="24">
        <v>7800</v>
      </c>
      <c r="C16" s="25">
        <v>0.85</v>
      </c>
      <c r="D16" s="1" t="s">
        <v>424</v>
      </c>
      <c r="E16" s="96" t="s">
        <v>268</v>
      </c>
    </row>
    <row r="17" spans="1:5" x14ac:dyDescent="0.25">
      <c r="A17" s="103" t="s">
        <v>522</v>
      </c>
      <c r="B17" s="24">
        <v>7481</v>
      </c>
      <c r="C17" s="25">
        <v>0.85</v>
      </c>
      <c r="D17" s="1" t="s">
        <v>424</v>
      </c>
      <c r="E17" s="104" t="s">
        <v>314</v>
      </c>
    </row>
    <row r="18" spans="1:5" x14ac:dyDescent="0.25">
      <c r="A18" s="149" t="s">
        <v>205</v>
      </c>
      <c r="B18" s="24">
        <v>7800</v>
      </c>
      <c r="C18" s="25">
        <v>0.5</v>
      </c>
      <c r="D18" s="1" t="s">
        <v>424</v>
      </c>
      <c r="E18" s="96" t="s">
        <v>580</v>
      </c>
    </row>
    <row r="19" spans="1:5" x14ac:dyDescent="0.25">
      <c r="A19" s="98" t="s">
        <v>302</v>
      </c>
      <c r="B19" s="24">
        <v>8168</v>
      </c>
      <c r="C19" s="125">
        <v>0.9</v>
      </c>
      <c r="D19" s="1" t="s">
        <v>424</v>
      </c>
      <c r="E19" s="104" t="s">
        <v>224</v>
      </c>
    </row>
    <row r="20" spans="1:5" x14ac:dyDescent="0.25">
      <c r="A20" s="98" t="s">
        <v>518</v>
      </c>
      <c r="B20" s="1"/>
      <c r="C20" s="1"/>
      <c r="D20" s="1"/>
      <c r="E20" s="96"/>
    </row>
    <row r="21" spans="1:5" x14ac:dyDescent="0.25">
      <c r="A21" s="103" t="s">
        <v>559</v>
      </c>
      <c r="B21" s="24">
        <v>8850</v>
      </c>
      <c r="C21" s="125">
        <v>0.5</v>
      </c>
      <c r="D21" s="1" t="s">
        <v>424</v>
      </c>
      <c r="E21" s="96" t="s">
        <v>267</v>
      </c>
    </row>
    <row r="22" spans="1:5" x14ac:dyDescent="0.25">
      <c r="A22" s="103" t="s">
        <v>560</v>
      </c>
      <c r="B22" s="24">
        <v>7800</v>
      </c>
      <c r="C22" s="90">
        <f>(2600/7800)</f>
        <v>0.33333333333333331</v>
      </c>
      <c r="D22" s="1" t="s">
        <v>424</v>
      </c>
      <c r="E22" s="96" t="s">
        <v>268</v>
      </c>
    </row>
    <row r="23" spans="1:5" x14ac:dyDescent="0.25">
      <c r="A23" s="103" t="s">
        <v>561</v>
      </c>
      <c r="B23" s="24">
        <v>7800</v>
      </c>
      <c r="C23" s="90">
        <f>(2600/7800)</f>
        <v>0.33333333333333331</v>
      </c>
      <c r="D23" s="1" t="s">
        <v>424</v>
      </c>
      <c r="E23" s="96" t="s">
        <v>268</v>
      </c>
    </row>
    <row r="24" spans="1:5" x14ac:dyDescent="0.25">
      <c r="A24" s="103" t="s">
        <v>562</v>
      </c>
      <c r="B24" s="24">
        <v>8850</v>
      </c>
      <c r="C24" s="125">
        <v>0.5</v>
      </c>
      <c r="D24" s="1" t="s">
        <v>424</v>
      </c>
      <c r="E24" s="96" t="s">
        <v>267</v>
      </c>
    </row>
    <row r="25" spans="1:5" x14ac:dyDescent="0.25">
      <c r="A25" s="98" t="str">
        <f>'Bioenergy Calculator'!B34</f>
        <v>Solid wastes - Landfilled</v>
      </c>
      <c r="B25" s="1" t="s">
        <v>154</v>
      </c>
      <c r="C25" s="1" t="s">
        <v>154</v>
      </c>
      <c r="D25" s="1"/>
      <c r="E25" s="96"/>
    </row>
    <row r="26" spans="1:5" x14ac:dyDescent="0.25">
      <c r="A26" s="103" t="str">
        <f>'Bioenergy Calculator'!B35</f>
        <v>Food waste, Landfilled</v>
      </c>
      <c r="B26" s="24">
        <f>2000/0.25</f>
        <v>8000</v>
      </c>
      <c r="C26" s="125">
        <v>0.3</v>
      </c>
      <c r="D26" s="1" t="s">
        <v>424</v>
      </c>
      <c r="E26" s="96" t="s">
        <v>580</v>
      </c>
    </row>
    <row r="27" spans="1:5" x14ac:dyDescent="0.25">
      <c r="A27" s="103" t="str">
        <f>'Bioenergy Calculator'!B36</f>
        <v>Waste paper, Landfilled</v>
      </c>
      <c r="B27" s="24">
        <v>7261</v>
      </c>
      <c r="C27" s="125">
        <v>0.9</v>
      </c>
      <c r="D27" s="1" t="s">
        <v>424</v>
      </c>
      <c r="E27" s="104" t="s">
        <v>263</v>
      </c>
    </row>
    <row r="28" spans="1:5" x14ac:dyDescent="0.25">
      <c r="A28" s="639" t="str">
        <f>'Bioenergy Calculator'!B37</f>
        <v>Other Biomass, Landfilled</v>
      </c>
      <c r="B28" s="126">
        <v>7261</v>
      </c>
      <c r="C28" s="125">
        <v>0.5</v>
      </c>
      <c r="D28" s="1" t="s">
        <v>424</v>
      </c>
      <c r="E28" s="392" t="s">
        <v>583</v>
      </c>
    </row>
    <row r="29" spans="1:5" x14ac:dyDescent="0.25">
      <c r="A29" s="639" t="s">
        <v>1313</v>
      </c>
      <c r="B29" s="24">
        <v>8850</v>
      </c>
      <c r="C29" s="125">
        <v>0.8</v>
      </c>
      <c r="D29" s="1" t="s">
        <v>424</v>
      </c>
      <c r="E29" s="96" t="s">
        <v>267</v>
      </c>
    </row>
    <row r="30" spans="1:5" x14ac:dyDescent="0.25">
      <c r="A30" s="105" t="s">
        <v>280</v>
      </c>
      <c r="B30" s="1"/>
      <c r="C30" s="1"/>
      <c r="D30" s="1"/>
      <c r="E30" s="96"/>
    </row>
    <row r="31" spans="1:5" x14ac:dyDescent="0.25">
      <c r="A31" s="103" t="s">
        <v>219</v>
      </c>
      <c r="B31" s="24">
        <f>2000/0.25</f>
        <v>8000</v>
      </c>
      <c r="C31" s="125">
        <v>0.25</v>
      </c>
      <c r="D31" s="1" t="s">
        <v>424</v>
      </c>
      <c r="E31" s="96" t="s">
        <v>585</v>
      </c>
    </row>
    <row r="32" spans="1:5" x14ac:dyDescent="0.25">
      <c r="A32" s="103" t="s">
        <v>565</v>
      </c>
      <c r="B32" s="24">
        <v>8850</v>
      </c>
      <c r="C32" s="125">
        <v>0.8</v>
      </c>
      <c r="D32" s="1" t="s">
        <v>424</v>
      </c>
      <c r="E32" s="96" t="s">
        <v>267</v>
      </c>
    </row>
    <row r="33" spans="1:5" x14ac:dyDescent="0.25">
      <c r="A33" s="106" t="s">
        <v>281</v>
      </c>
      <c r="B33" s="24">
        <v>7945</v>
      </c>
      <c r="C33" s="125">
        <v>0.9</v>
      </c>
      <c r="D33" s="1" t="s">
        <v>424</v>
      </c>
      <c r="E33" s="104" t="s">
        <v>263</v>
      </c>
    </row>
    <row r="34" spans="1:5" x14ac:dyDescent="0.25">
      <c r="A34" s="106" t="s">
        <v>556</v>
      </c>
      <c r="B34" s="24">
        <v>7261</v>
      </c>
      <c r="C34" s="125">
        <v>0.9</v>
      </c>
      <c r="D34" s="1" t="s">
        <v>424</v>
      </c>
      <c r="E34" s="104" t="s">
        <v>263</v>
      </c>
    </row>
    <row r="35" spans="1:5" x14ac:dyDescent="0.25">
      <c r="A35" s="106" t="s">
        <v>557</v>
      </c>
      <c r="B35" s="24">
        <v>7979</v>
      </c>
      <c r="C35" s="125">
        <v>0.9</v>
      </c>
      <c r="D35" s="1" t="s">
        <v>424</v>
      </c>
      <c r="E35" s="104" t="s">
        <v>263</v>
      </c>
    </row>
    <row r="36" spans="1:5" x14ac:dyDescent="0.25">
      <c r="A36" s="106" t="s">
        <v>558</v>
      </c>
      <c r="B36" s="24">
        <v>7261</v>
      </c>
      <c r="C36" s="125">
        <v>0.9</v>
      </c>
      <c r="D36" s="1" t="s">
        <v>424</v>
      </c>
      <c r="E36" s="104" t="s">
        <v>263</v>
      </c>
    </row>
    <row r="37" spans="1:5" x14ac:dyDescent="0.25">
      <c r="A37" s="98" t="s">
        <v>510</v>
      </c>
      <c r="B37" s="1"/>
      <c r="C37" s="1"/>
      <c r="D37" s="1"/>
      <c r="E37" s="96"/>
    </row>
    <row r="38" spans="1:5" x14ac:dyDescent="0.25">
      <c r="A38" s="103" t="s">
        <v>525</v>
      </c>
      <c r="B38" s="90"/>
      <c r="C38" s="24"/>
      <c r="D38" s="1"/>
      <c r="E38" s="96" t="s">
        <v>234</v>
      </c>
    </row>
    <row r="39" spans="1:5" x14ac:dyDescent="0.25">
      <c r="A39" s="98" t="s">
        <v>508</v>
      </c>
      <c r="B39" s="24">
        <v>15000</v>
      </c>
      <c r="C39" s="125">
        <v>0.85</v>
      </c>
      <c r="D39" s="1"/>
      <c r="E39" s="96" t="s">
        <v>581</v>
      </c>
    </row>
    <row r="40" spans="1:5" x14ac:dyDescent="0.25">
      <c r="A40" s="98" t="s">
        <v>509</v>
      </c>
      <c r="B40" s="24">
        <v>15000</v>
      </c>
      <c r="C40" s="125">
        <v>0.05</v>
      </c>
      <c r="D40" s="1"/>
      <c r="E40" s="96" t="s">
        <v>580</v>
      </c>
    </row>
    <row r="41" spans="1:5" x14ac:dyDescent="0.25">
      <c r="A41" s="98" t="s">
        <v>505</v>
      </c>
      <c r="B41" s="1"/>
      <c r="C41" s="1"/>
      <c r="D41" s="1"/>
      <c r="E41" s="96"/>
    </row>
    <row r="42" spans="1:5" x14ac:dyDescent="0.25">
      <c r="A42" s="103" t="s">
        <v>535</v>
      </c>
      <c r="B42" s="24">
        <v>7382</v>
      </c>
      <c r="C42" s="1"/>
      <c r="D42" s="1" t="s">
        <v>424</v>
      </c>
      <c r="E42" s="104" t="s">
        <v>264</v>
      </c>
    </row>
    <row r="43" spans="1:5" x14ac:dyDescent="0.25">
      <c r="A43" s="107" t="s">
        <v>536</v>
      </c>
      <c r="B43" s="2"/>
      <c r="C43" s="25">
        <v>0.08</v>
      </c>
      <c r="D43" s="1"/>
      <c r="E43" s="96" t="s">
        <v>104</v>
      </c>
    </row>
    <row r="44" spans="1:5" x14ac:dyDescent="0.25">
      <c r="A44" s="107" t="s">
        <v>537</v>
      </c>
      <c r="B44" s="2"/>
      <c r="C44" s="25">
        <v>0.12</v>
      </c>
      <c r="D44" s="1"/>
      <c r="E44" s="96" t="s">
        <v>104</v>
      </c>
    </row>
    <row r="45" spans="1:5" x14ac:dyDescent="0.25">
      <c r="A45" s="103" t="s">
        <v>539</v>
      </c>
      <c r="B45" s="24">
        <v>7382</v>
      </c>
      <c r="C45" s="1"/>
      <c r="D45" s="1" t="s">
        <v>424</v>
      </c>
      <c r="E45" s="104" t="s">
        <v>264</v>
      </c>
    </row>
    <row r="46" spans="1:5" x14ac:dyDescent="0.25">
      <c r="A46" s="107" t="s">
        <v>540</v>
      </c>
      <c r="B46" s="2"/>
      <c r="C46" s="25">
        <v>0.12</v>
      </c>
      <c r="D46" s="1"/>
      <c r="E46" s="96" t="s">
        <v>104</v>
      </c>
    </row>
    <row r="47" spans="1:5" x14ac:dyDescent="0.25">
      <c r="A47" s="107" t="s">
        <v>541</v>
      </c>
      <c r="B47" s="2"/>
      <c r="C47" s="25">
        <v>0.12</v>
      </c>
      <c r="D47" s="1"/>
      <c r="E47" s="96" t="s">
        <v>104</v>
      </c>
    </row>
    <row r="48" spans="1:5" x14ac:dyDescent="0.25">
      <c r="A48" s="107" t="s">
        <v>542</v>
      </c>
      <c r="B48" s="2"/>
      <c r="C48" s="25">
        <v>0.12</v>
      </c>
      <c r="D48" s="1"/>
      <c r="E48" s="96" t="s">
        <v>104</v>
      </c>
    </row>
    <row r="49" spans="1:5" x14ac:dyDescent="0.25">
      <c r="A49" s="107" t="s">
        <v>543</v>
      </c>
      <c r="B49" s="2"/>
      <c r="C49" s="25">
        <v>0.12</v>
      </c>
      <c r="D49" s="1"/>
      <c r="E49" s="96" t="s">
        <v>104</v>
      </c>
    </row>
    <row r="50" spans="1:5" x14ac:dyDescent="0.25">
      <c r="A50" s="103" t="s">
        <v>545</v>
      </c>
      <c r="B50" s="24">
        <v>7382</v>
      </c>
      <c r="C50" s="25">
        <v>0.14000000000000001</v>
      </c>
      <c r="D50" s="1"/>
      <c r="E50" s="96" t="s">
        <v>104</v>
      </c>
    </row>
    <row r="51" spans="1:5" x14ac:dyDescent="0.25">
      <c r="A51" s="103" t="s">
        <v>546</v>
      </c>
      <c r="B51" s="24">
        <v>7382</v>
      </c>
      <c r="C51" s="25">
        <v>0.25</v>
      </c>
      <c r="D51" s="1" t="s">
        <v>424</v>
      </c>
      <c r="E51" s="104" t="s">
        <v>264</v>
      </c>
    </row>
    <row r="52" spans="1:5" x14ac:dyDescent="0.25">
      <c r="A52" s="103" t="s">
        <v>547</v>
      </c>
      <c r="B52" s="24">
        <v>7382</v>
      </c>
      <c r="C52" s="25">
        <v>0.25</v>
      </c>
      <c r="D52" s="1" t="s">
        <v>424</v>
      </c>
      <c r="E52" s="104" t="s">
        <v>264</v>
      </c>
    </row>
    <row r="53" spans="1:5" x14ac:dyDescent="0.25">
      <c r="A53" s="103" t="s">
        <v>548</v>
      </c>
      <c r="B53" s="24">
        <v>7382</v>
      </c>
      <c r="C53" s="1"/>
      <c r="D53" s="1" t="s">
        <v>424</v>
      </c>
      <c r="E53" s="104" t="s">
        <v>264</v>
      </c>
    </row>
    <row r="54" spans="1:5" x14ac:dyDescent="0.25">
      <c r="A54" s="107" t="s">
        <v>549</v>
      </c>
      <c r="B54" s="2"/>
      <c r="C54" s="25">
        <v>0.11</v>
      </c>
      <c r="D54" s="1"/>
      <c r="E54" s="96" t="s">
        <v>104</v>
      </c>
    </row>
    <row r="55" spans="1:5" x14ac:dyDescent="0.25">
      <c r="A55" s="107" t="s">
        <v>550</v>
      </c>
      <c r="B55" s="2"/>
      <c r="C55" s="25">
        <v>0.1</v>
      </c>
      <c r="D55" s="1"/>
      <c r="E55" s="96" t="s">
        <v>104</v>
      </c>
    </row>
    <row r="56" spans="1:5" x14ac:dyDescent="0.25">
      <c r="A56" s="103" t="s">
        <v>551</v>
      </c>
      <c r="B56" s="24">
        <v>6000</v>
      </c>
      <c r="C56" s="26">
        <v>0.26</v>
      </c>
      <c r="D56" s="1" t="s">
        <v>424</v>
      </c>
      <c r="E56" s="104" t="s">
        <v>262</v>
      </c>
    </row>
    <row r="57" spans="1:5" x14ac:dyDescent="0.25">
      <c r="A57" s="103" t="s">
        <v>552</v>
      </c>
      <c r="B57" s="24">
        <v>7382</v>
      </c>
      <c r="C57" s="26">
        <v>0.25</v>
      </c>
      <c r="D57" s="1" t="s">
        <v>424</v>
      </c>
      <c r="E57" s="104" t="s">
        <v>264</v>
      </c>
    </row>
    <row r="58" spans="1:5" s="301" customFormat="1" ht="26.4" x14ac:dyDescent="0.25">
      <c r="A58" s="389" t="s">
        <v>305</v>
      </c>
      <c r="B58" s="390">
        <f>1800/0.3</f>
        <v>6000</v>
      </c>
      <c r="C58" s="391">
        <v>0.25</v>
      </c>
      <c r="D58" s="374" t="s">
        <v>424</v>
      </c>
      <c r="E58" s="97" t="s">
        <v>233</v>
      </c>
    </row>
    <row r="59" spans="1:5" x14ac:dyDescent="0.25">
      <c r="A59" s="98" t="s">
        <v>304</v>
      </c>
      <c r="B59" s="24">
        <v>619</v>
      </c>
      <c r="C59" s="124">
        <v>1</v>
      </c>
      <c r="D59" s="1" t="s">
        <v>271</v>
      </c>
      <c r="E59" s="104" t="s">
        <v>260</v>
      </c>
    </row>
    <row r="60" spans="1:5" ht="13.8" thickBot="1" x14ac:dyDescent="0.3">
      <c r="A60" s="108" t="s">
        <v>512</v>
      </c>
      <c r="B60" s="100">
        <v>506</v>
      </c>
      <c r="C60" s="127">
        <v>1</v>
      </c>
      <c r="D60" s="109" t="s">
        <v>271</v>
      </c>
      <c r="E60" s="110" t="s">
        <v>260</v>
      </c>
    </row>
    <row r="62" spans="1:5" x14ac:dyDescent="0.25">
      <c r="A62" s="289" t="s">
        <v>410</v>
      </c>
      <c r="B62" s="58">
        <v>8437</v>
      </c>
      <c r="D62" t="s">
        <v>424</v>
      </c>
      <c r="E62" s="76" t="s">
        <v>312</v>
      </c>
    </row>
    <row r="63" spans="1:5" x14ac:dyDescent="0.25">
      <c r="A63" s="289" t="s">
        <v>411</v>
      </c>
      <c r="B63" s="58">
        <v>8044</v>
      </c>
      <c r="D63" t="s">
        <v>424</v>
      </c>
      <c r="E63" s="76" t="s">
        <v>313</v>
      </c>
    </row>
    <row r="65" spans="1:5" x14ac:dyDescent="0.25">
      <c r="A65" s="289" t="s">
        <v>167</v>
      </c>
      <c r="B65" s="58">
        <f>8000*2000/1000000</f>
        <v>16</v>
      </c>
      <c r="D65" t="s">
        <v>161</v>
      </c>
      <c r="E65" t="s">
        <v>160</v>
      </c>
    </row>
    <row r="66" spans="1:5" x14ac:dyDescent="0.25">
      <c r="A66" s="64" t="s">
        <v>159</v>
      </c>
      <c r="B66" s="267">
        <f>B59/B65</f>
        <v>38.6875</v>
      </c>
      <c r="D66" t="s">
        <v>164</v>
      </c>
    </row>
    <row r="67" spans="1:5" x14ac:dyDescent="0.25">
      <c r="A67" s="64" t="s">
        <v>158</v>
      </c>
      <c r="B67" s="267">
        <f>B60/B65</f>
        <v>31.625</v>
      </c>
      <c r="D67" t="s">
        <v>164</v>
      </c>
    </row>
    <row r="68" spans="1:5" x14ac:dyDescent="0.25">
      <c r="A68" s="64"/>
      <c r="B68" s="267"/>
    </row>
    <row r="69" spans="1:5" x14ac:dyDescent="0.25">
      <c r="A69" s="64" t="s">
        <v>236</v>
      </c>
      <c r="B69" s="58">
        <v>3412</v>
      </c>
    </row>
    <row r="71" spans="1:5" x14ac:dyDescent="0.25">
      <c r="A71" s="120" t="s">
        <v>582</v>
      </c>
    </row>
    <row r="72" spans="1:5" x14ac:dyDescent="0.25">
      <c r="A72" t="s">
        <v>235</v>
      </c>
    </row>
    <row r="74" spans="1:5" x14ac:dyDescent="0.25">
      <c r="B74" s="265"/>
      <c r="D74" s="265"/>
    </row>
    <row r="76" spans="1:5" x14ac:dyDescent="0.25">
      <c r="B76" s="267"/>
      <c r="D76" s="267"/>
    </row>
    <row r="77" spans="1:5" x14ac:dyDescent="0.25">
      <c r="D77" s="268"/>
    </row>
    <row r="78" spans="1:5" x14ac:dyDescent="0.25">
      <c r="B78" s="265"/>
      <c r="D78" s="265"/>
    </row>
  </sheetData>
  <phoneticPr fontId="0" type="noConversion"/>
  <hyperlinks>
    <hyperlink ref="E62" r:id="rId1"/>
    <hyperlink ref="E13" r:id="rId2"/>
    <hyperlink ref="E63" r:id="rId3"/>
    <hyperlink ref="E17" r:id="rId4"/>
    <hyperlink ref="E59" r:id="rId5"/>
    <hyperlink ref="E60" r:id="rId6"/>
    <hyperlink ref="E56" r:id="rId7"/>
    <hyperlink ref="E19" r:id="rId8"/>
    <hyperlink ref="E42" r:id="rId9"/>
    <hyperlink ref="E14" r:id="rId10"/>
    <hyperlink ref="E11" r:id="rId11"/>
    <hyperlink ref="E45" r:id="rId12"/>
    <hyperlink ref="E51" r:id="rId13"/>
    <hyperlink ref="E52" r:id="rId14"/>
    <hyperlink ref="E53" r:id="rId15"/>
    <hyperlink ref="E57" r:id="rId16"/>
    <hyperlink ref="E28" r:id="rId17" display="http://www.vt.tuwien.ac.at/biobib/biobib.html"/>
  </hyperlinks>
  <pageMargins left="0.75" right="0.75" top="1" bottom="1" header="0.5" footer="0.5"/>
  <pageSetup paperSize="5" scale="50" orientation="landscape" r:id="rId18"/>
  <headerFooter alignWithMargins="0">
    <oddFooter>&amp;L&amp;"Arial,Italic" 7/02/07&amp;C&amp;"Arial,Italic"&amp;A&amp;R&amp;"Arial,Italic"NJAES Report 2007-1 ©2007
New Jersey Agricultural Experiment Station</oddFooter>
  </headerFooter>
  <colBreaks count="1" manualBreakCount="1">
    <brk id="5" max="1048575" man="1"/>
  </colBreaks>
  <legacyDrawing r:id="rId1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2:G46"/>
  <sheetViews>
    <sheetView zoomScale="80" zoomScaleNormal="80" workbookViewId="0">
      <selection activeCell="G33" sqref="G33"/>
    </sheetView>
  </sheetViews>
  <sheetFormatPr defaultColWidth="8.88671875" defaultRowHeight="13.2" x14ac:dyDescent="0.25"/>
  <cols>
    <col min="1" max="1" width="57.6640625" bestFit="1" customWidth="1"/>
    <col min="2" max="5" width="8.88671875" customWidth="1"/>
    <col min="6" max="6" width="17.44140625" customWidth="1"/>
    <col min="7" max="7" width="89.109375" customWidth="1"/>
  </cols>
  <sheetData>
    <row r="2" spans="1:7" ht="14.4" thickBot="1" x14ac:dyDescent="0.3">
      <c r="A2" s="551" t="s">
        <v>427</v>
      </c>
      <c r="E2" s="353"/>
      <c r="F2" s="353"/>
    </row>
    <row r="3" spans="1:7" x14ac:dyDescent="0.25">
      <c r="A3" s="93" t="s">
        <v>119</v>
      </c>
      <c r="B3" s="94">
        <v>2010</v>
      </c>
      <c r="C3" s="94">
        <v>2015</v>
      </c>
      <c r="D3" s="94">
        <v>2020</v>
      </c>
      <c r="E3" s="112">
        <v>2025</v>
      </c>
      <c r="F3" s="112" t="s">
        <v>315</v>
      </c>
      <c r="G3" s="95" t="s">
        <v>426</v>
      </c>
    </row>
    <row r="4" spans="1:7" ht="39.6" x14ac:dyDescent="0.25">
      <c r="A4" s="635" t="s">
        <v>428</v>
      </c>
      <c r="B4" s="536">
        <v>0.25</v>
      </c>
      <c r="C4" s="536">
        <v>0.25</v>
      </c>
      <c r="D4" s="536">
        <v>0.25</v>
      </c>
      <c r="E4" s="536">
        <v>0.25</v>
      </c>
      <c r="F4" s="519" t="s">
        <v>285</v>
      </c>
      <c r="G4" s="574" t="s">
        <v>999</v>
      </c>
    </row>
    <row r="5" spans="1:7" ht="39.6" x14ac:dyDescent="0.25">
      <c r="A5" s="635" t="s">
        <v>306</v>
      </c>
      <c r="B5" s="536">
        <v>0.24</v>
      </c>
      <c r="C5" s="536">
        <v>0.24</v>
      </c>
      <c r="D5" s="536">
        <v>0.24</v>
      </c>
      <c r="E5" s="536">
        <v>0.24</v>
      </c>
      <c r="F5" s="519" t="s">
        <v>285</v>
      </c>
      <c r="G5" s="574" t="s">
        <v>1000</v>
      </c>
    </row>
    <row r="6" spans="1:7" ht="52.8" x14ac:dyDescent="0.25">
      <c r="A6" s="635" t="s">
        <v>429</v>
      </c>
      <c r="B6" s="536">
        <v>0.35</v>
      </c>
      <c r="C6" s="536">
        <v>0.35</v>
      </c>
      <c r="D6" s="536">
        <v>0.35</v>
      </c>
      <c r="E6" s="536">
        <v>0.35</v>
      </c>
      <c r="F6" s="114" t="s">
        <v>285</v>
      </c>
      <c r="G6" s="574" t="s">
        <v>1001</v>
      </c>
    </row>
    <row r="7" spans="1:7" ht="39.6" x14ac:dyDescent="0.25">
      <c r="A7" s="635" t="s">
        <v>317</v>
      </c>
      <c r="B7" s="572">
        <v>0.39</v>
      </c>
      <c r="C7" s="572">
        <v>0.39</v>
      </c>
      <c r="D7" s="572">
        <v>0.39</v>
      </c>
      <c r="E7" s="572">
        <v>0.39</v>
      </c>
      <c r="F7" s="115" t="s">
        <v>285</v>
      </c>
      <c r="G7" s="574" t="s">
        <v>1061</v>
      </c>
    </row>
    <row r="8" spans="1:7" ht="15.75" customHeight="1" x14ac:dyDescent="0.25">
      <c r="A8" s="635" t="s">
        <v>120</v>
      </c>
      <c r="B8" s="536">
        <v>0.26250000000000001</v>
      </c>
      <c r="C8" s="536">
        <v>0.26250000000000001</v>
      </c>
      <c r="D8" s="536">
        <v>0.26250000000000001</v>
      </c>
      <c r="E8" s="536">
        <v>0.26250000000000001</v>
      </c>
      <c r="F8" s="533" t="s">
        <v>285</v>
      </c>
      <c r="G8" s="575" t="s">
        <v>580</v>
      </c>
    </row>
    <row r="9" spans="1:7" ht="38.25" customHeight="1" x14ac:dyDescent="0.25">
      <c r="A9" s="635" t="s">
        <v>121</v>
      </c>
      <c r="B9" s="536">
        <v>0.35</v>
      </c>
      <c r="C9" s="536">
        <v>0.35</v>
      </c>
      <c r="D9" s="536">
        <v>0.35</v>
      </c>
      <c r="E9" s="536">
        <v>0.35</v>
      </c>
      <c r="F9" s="115" t="s">
        <v>285</v>
      </c>
      <c r="G9" s="574" t="s">
        <v>1060</v>
      </c>
    </row>
    <row r="10" spans="1:7" ht="79.2" x14ac:dyDescent="0.25">
      <c r="A10" s="635" t="s">
        <v>358</v>
      </c>
      <c r="B10" s="514">
        <v>0.22500000000000001</v>
      </c>
      <c r="C10" s="514">
        <v>0.22500000000000001</v>
      </c>
      <c r="D10" s="514">
        <v>0.22500000000000001</v>
      </c>
      <c r="E10" s="514">
        <v>0.22500000000000001</v>
      </c>
      <c r="F10" s="634" t="s">
        <v>285</v>
      </c>
      <c r="G10" s="576" t="s">
        <v>1002</v>
      </c>
    </row>
    <row r="11" spans="1:7" x14ac:dyDescent="0.25">
      <c r="A11" s="635" t="s">
        <v>370</v>
      </c>
      <c r="B11" s="514">
        <v>0.189</v>
      </c>
      <c r="C11" s="514">
        <v>0.189</v>
      </c>
      <c r="D11" s="514">
        <v>0.189</v>
      </c>
      <c r="E11" s="514">
        <v>0.189</v>
      </c>
      <c r="F11" s="533" t="s">
        <v>285</v>
      </c>
      <c r="G11" s="575" t="s">
        <v>586</v>
      </c>
    </row>
    <row r="12" spans="1:7" ht="13.8" thickBot="1" x14ac:dyDescent="0.3">
      <c r="A12" s="636" t="s">
        <v>318</v>
      </c>
      <c r="B12" s="535">
        <v>0.21</v>
      </c>
      <c r="C12" s="535">
        <v>0.21</v>
      </c>
      <c r="D12" s="535">
        <v>0.21</v>
      </c>
      <c r="E12" s="535">
        <v>0.21</v>
      </c>
      <c r="F12" s="534" t="s">
        <v>285</v>
      </c>
      <c r="G12" s="532" t="s">
        <v>580</v>
      </c>
    </row>
    <row r="13" spans="1:7" x14ac:dyDescent="0.25">
      <c r="G13" s="515"/>
    </row>
    <row r="14" spans="1:7" ht="14.4" thickBot="1" x14ac:dyDescent="0.3">
      <c r="A14" s="399" t="s">
        <v>284</v>
      </c>
      <c r="G14" s="515"/>
    </row>
    <row r="15" spans="1:7" x14ac:dyDescent="0.25">
      <c r="A15" s="93" t="s">
        <v>276</v>
      </c>
      <c r="B15" s="94">
        <v>2010</v>
      </c>
      <c r="C15" s="94">
        <v>2015</v>
      </c>
      <c r="D15" s="94">
        <v>2020</v>
      </c>
      <c r="E15" s="112">
        <v>2025</v>
      </c>
      <c r="F15" s="112" t="s">
        <v>315</v>
      </c>
      <c r="G15" s="518" t="s">
        <v>426</v>
      </c>
    </row>
    <row r="16" spans="1:7" x14ac:dyDescent="0.25">
      <c r="A16" s="635" t="s">
        <v>352</v>
      </c>
      <c r="B16" s="573">
        <v>2.8</v>
      </c>
      <c r="C16" s="573">
        <v>2.8</v>
      </c>
      <c r="D16" s="573">
        <v>2.9</v>
      </c>
      <c r="E16" s="573">
        <v>3</v>
      </c>
      <c r="F16" s="113" t="s">
        <v>308</v>
      </c>
      <c r="G16" s="574" t="s">
        <v>286</v>
      </c>
    </row>
    <row r="17" spans="1:7" x14ac:dyDescent="0.25">
      <c r="A17" s="635" t="s">
        <v>353</v>
      </c>
      <c r="B17" s="573">
        <v>2.5</v>
      </c>
      <c r="C17" s="573">
        <v>2.5</v>
      </c>
      <c r="D17" s="573">
        <v>2.5</v>
      </c>
      <c r="E17" s="573">
        <v>2.5</v>
      </c>
      <c r="F17" s="526" t="s">
        <v>308</v>
      </c>
      <c r="G17" s="575" t="s">
        <v>286</v>
      </c>
    </row>
    <row r="18" spans="1:7" ht="79.2" x14ac:dyDescent="0.25">
      <c r="A18" s="635" t="s">
        <v>354</v>
      </c>
      <c r="B18" s="573">
        <v>2.8</v>
      </c>
      <c r="C18" s="573">
        <v>2.8</v>
      </c>
      <c r="D18" s="573">
        <v>2.9</v>
      </c>
      <c r="E18" s="573">
        <v>3</v>
      </c>
      <c r="F18" s="113" t="s">
        <v>308</v>
      </c>
      <c r="G18" s="574" t="s">
        <v>1005</v>
      </c>
    </row>
    <row r="19" spans="1:7" x14ac:dyDescent="0.25">
      <c r="A19" s="635" t="s">
        <v>355</v>
      </c>
      <c r="B19" s="573">
        <v>2.7</v>
      </c>
      <c r="C19" s="573">
        <v>2.7</v>
      </c>
      <c r="D19" s="573">
        <v>2.7</v>
      </c>
      <c r="E19" s="573">
        <v>2.7</v>
      </c>
      <c r="F19" s="113" t="s">
        <v>308</v>
      </c>
      <c r="G19" s="575" t="s">
        <v>286</v>
      </c>
    </row>
    <row r="20" spans="1:7" ht="39.6" x14ac:dyDescent="0.25">
      <c r="A20" s="635" t="s">
        <v>319</v>
      </c>
      <c r="B20" s="522">
        <v>2.5000000000000001E-2</v>
      </c>
      <c r="C20" s="522">
        <v>2.5000000000000001E-2</v>
      </c>
      <c r="D20" s="522">
        <v>2.5000000000000001E-2</v>
      </c>
      <c r="E20" s="522">
        <v>2.5000000000000001E-2</v>
      </c>
      <c r="F20" s="113" t="s">
        <v>309</v>
      </c>
      <c r="G20" s="574" t="s">
        <v>1003</v>
      </c>
    </row>
    <row r="21" spans="1:7" x14ac:dyDescent="0.25">
      <c r="A21" s="635" t="s">
        <v>360</v>
      </c>
      <c r="B21" s="522">
        <v>0.13</v>
      </c>
      <c r="C21" s="522">
        <v>0.13</v>
      </c>
      <c r="D21" s="522">
        <v>0.13</v>
      </c>
      <c r="E21" s="522">
        <v>0.13</v>
      </c>
      <c r="F21" s="113" t="s">
        <v>309</v>
      </c>
      <c r="G21" s="574" t="s">
        <v>286</v>
      </c>
    </row>
    <row r="22" spans="1:7" x14ac:dyDescent="0.25">
      <c r="A22" s="635" t="s">
        <v>361</v>
      </c>
      <c r="B22" s="522">
        <v>0.125</v>
      </c>
      <c r="C22" s="522">
        <v>0.125</v>
      </c>
      <c r="D22" s="522">
        <v>0.125</v>
      </c>
      <c r="E22" s="522">
        <v>0.125</v>
      </c>
      <c r="F22" s="526" t="s">
        <v>309</v>
      </c>
      <c r="G22" s="574" t="s">
        <v>286</v>
      </c>
    </row>
    <row r="23" spans="1:7" x14ac:dyDescent="0.25">
      <c r="A23" s="635" t="s">
        <v>990</v>
      </c>
      <c r="B23" s="523" t="s">
        <v>176</v>
      </c>
      <c r="C23" s="522"/>
      <c r="D23" s="522"/>
      <c r="E23" s="522"/>
      <c r="F23" s="526" t="s">
        <v>310</v>
      </c>
      <c r="G23" s="574" t="s">
        <v>175</v>
      </c>
    </row>
    <row r="24" spans="1:7" x14ac:dyDescent="0.25">
      <c r="A24" s="635" t="s">
        <v>989</v>
      </c>
      <c r="B24" s="523" t="s">
        <v>176</v>
      </c>
      <c r="C24" s="522"/>
      <c r="D24" s="522"/>
      <c r="E24" s="522"/>
      <c r="F24" s="526" t="s">
        <v>310</v>
      </c>
      <c r="G24" s="527" t="s">
        <v>175</v>
      </c>
    </row>
    <row r="25" spans="1:7" x14ac:dyDescent="0.25">
      <c r="A25" s="635" t="s">
        <v>991</v>
      </c>
      <c r="B25" s="523" t="s">
        <v>176</v>
      </c>
      <c r="C25" s="523"/>
      <c r="D25" s="523"/>
      <c r="E25" s="523"/>
      <c r="F25" s="528" t="s">
        <v>310</v>
      </c>
      <c r="G25" s="527" t="s">
        <v>175</v>
      </c>
    </row>
    <row r="26" spans="1:7" x14ac:dyDescent="0.25">
      <c r="A26" s="635" t="s">
        <v>992</v>
      </c>
      <c r="B26" s="523" t="s">
        <v>176</v>
      </c>
      <c r="C26" s="523"/>
      <c r="D26" s="523"/>
      <c r="E26" s="523"/>
      <c r="F26" s="528" t="s">
        <v>310</v>
      </c>
      <c r="G26" s="527" t="s">
        <v>175</v>
      </c>
    </row>
    <row r="27" spans="1:7" x14ac:dyDescent="0.25">
      <c r="A27" s="635" t="s">
        <v>356</v>
      </c>
      <c r="B27" s="522">
        <v>45.6</v>
      </c>
      <c r="C27" s="522">
        <v>45.6</v>
      </c>
      <c r="D27" s="522">
        <v>45.6</v>
      </c>
      <c r="E27" s="522">
        <v>45.6</v>
      </c>
      <c r="F27" s="526" t="s">
        <v>310</v>
      </c>
      <c r="G27" s="520" t="s">
        <v>359</v>
      </c>
    </row>
    <row r="28" spans="1:7" x14ac:dyDescent="0.25">
      <c r="A28" s="635" t="s">
        <v>357</v>
      </c>
      <c r="B28" s="522">
        <v>41.4</v>
      </c>
      <c r="C28" s="522">
        <v>41.4</v>
      </c>
      <c r="D28" s="522">
        <v>41.4</v>
      </c>
      <c r="E28" s="522">
        <v>41.4</v>
      </c>
      <c r="F28" s="526" t="s">
        <v>310</v>
      </c>
      <c r="G28" s="520" t="s">
        <v>359</v>
      </c>
    </row>
    <row r="29" spans="1:7" s="301" customFormat="1" ht="26.4" x14ac:dyDescent="0.25">
      <c r="A29" s="637" t="s">
        <v>252</v>
      </c>
      <c r="B29" s="524">
        <f>900*1000/124340</f>
        <v>7.2382177899308351</v>
      </c>
      <c r="C29" s="524">
        <f>900*1000/124340</f>
        <v>7.2382177899308351</v>
      </c>
      <c r="D29" s="524">
        <f>900*1000/124340</f>
        <v>7.2382177899308351</v>
      </c>
      <c r="E29" s="524">
        <f>900*1000/124340</f>
        <v>7.2382177899308351</v>
      </c>
      <c r="F29" s="529" t="s">
        <v>226</v>
      </c>
      <c r="G29" s="530" t="s">
        <v>253</v>
      </c>
    </row>
    <row r="30" spans="1:7" s="301" customFormat="1" ht="27" thickBot="1" x14ac:dyDescent="0.3">
      <c r="A30" s="638" t="s">
        <v>225</v>
      </c>
      <c r="B30" s="525">
        <f>600*1000/124340</f>
        <v>4.8254785266205564</v>
      </c>
      <c r="C30" s="525">
        <f>600*1000/124340</f>
        <v>4.8254785266205564</v>
      </c>
      <c r="D30" s="525">
        <f>600*1000/124340</f>
        <v>4.8254785266205564</v>
      </c>
      <c r="E30" s="525">
        <f>600*1000/124340</f>
        <v>4.8254785266205564</v>
      </c>
      <c r="F30" s="531" t="s">
        <v>226</v>
      </c>
      <c r="G30" s="532" t="s">
        <v>177</v>
      </c>
    </row>
    <row r="31" spans="1:7" x14ac:dyDescent="0.25">
      <c r="A31" s="80"/>
      <c r="G31" s="515"/>
    </row>
    <row r="32" spans="1:7" ht="14.4" thickBot="1" x14ac:dyDescent="0.3">
      <c r="A32" s="399" t="s">
        <v>223</v>
      </c>
      <c r="G32" s="515"/>
    </row>
    <row r="33" spans="1:7" x14ac:dyDescent="0.25">
      <c r="A33" s="93" t="s">
        <v>276</v>
      </c>
      <c r="B33" s="94">
        <v>2010</v>
      </c>
      <c r="C33" s="94">
        <v>2015</v>
      </c>
      <c r="D33" s="94">
        <v>2020</v>
      </c>
      <c r="E33" s="112">
        <v>2025</v>
      </c>
      <c r="F33" s="112" t="s">
        <v>315</v>
      </c>
      <c r="G33" s="518" t="s">
        <v>426</v>
      </c>
    </row>
    <row r="34" spans="1:7" x14ac:dyDescent="0.25">
      <c r="A34" s="98" t="s">
        <v>131</v>
      </c>
      <c r="B34" s="24">
        <f>84530/124340</f>
        <v>0.67982949975872609</v>
      </c>
      <c r="C34" s="24">
        <f>84530/124340</f>
        <v>0.67982949975872609</v>
      </c>
      <c r="D34" s="24">
        <f>84530/124340</f>
        <v>0.67982949975872609</v>
      </c>
      <c r="E34" s="24">
        <f>84530/124340</f>
        <v>0.67982949975872609</v>
      </c>
      <c r="F34" s="113" t="s">
        <v>138</v>
      </c>
      <c r="G34" s="97" t="s">
        <v>135</v>
      </c>
    </row>
    <row r="35" spans="1:7" x14ac:dyDescent="0.25">
      <c r="A35" s="98" t="s">
        <v>132</v>
      </c>
      <c r="B35" s="24">
        <f>130030/124340</f>
        <v>1.045761621360785</v>
      </c>
      <c r="C35" s="24">
        <f>130030/124340</f>
        <v>1.045761621360785</v>
      </c>
      <c r="D35" s="24">
        <f>130030/124340</f>
        <v>1.045761621360785</v>
      </c>
      <c r="E35" s="24">
        <f>130030/124340</f>
        <v>1.045761621360785</v>
      </c>
      <c r="F35" s="113" t="s">
        <v>139</v>
      </c>
      <c r="G35" s="97" t="s">
        <v>135</v>
      </c>
    </row>
    <row r="36" spans="1:7" x14ac:dyDescent="0.25">
      <c r="A36" s="98" t="s">
        <v>133</v>
      </c>
      <c r="B36" s="24">
        <f>128763/124340</f>
        <v>1.0355718192054046</v>
      </c>
      <c r="C36" s="24">
        <f>128763/124340</f>
        <v>1.0355718192054046</v>
      </c>
      <c r="D36" s="24">
        <f>128763/124340</f>
        <v>1.0355718192054046</v>
      </c>
      <c r="E36" s="24">
        <f>128763/124340</f>
        <v>1.0355718192054046</v>
      </c>
      <c r="F36" s="113" t="s">
        <v>140</v>
      </c>
      <c r="G36" s="516" t="s">
        <v>136</v>
      </c>
    </row>
    <row r="37" spans="1:7" ht="13.8" thickBot="1" x14ac:dyDescent="0.3">
      <c r="A37" s="99" t="s">
        <v>134</v>
      </c>
      <c r="B37" s="100">
        <f>111750/124340</f>
        <v>0.89874537558307865</v>
      </c>
      <c r="C37" s="100">
        <f>111750/124340</f>
        <v>0.89874537558307865</v>
      </c>
      <c r="D37" s="100">
        <f>111750/124340</f>
        <v>0.89874537558307865</v>
      </c>
      <c r="E37" s="100">
        <f>111750/124340</f>
        <v>0.89874537558307865</v>
      </c>
      <c r="F37" s="657" t="s">
        <v>141</v>
      </c>
      <c r="G37" s="517" t="s">
        <v>137</v>
      </c>
    </row>
    <row r="38" spans="1:7" x14ac:dyDescent="0.25">
      <c r="A38" s="80"/>
    </row>
    <row r="39" spans="1:7" ht="13.8" x14ac:dyDescent="0.25">
      <c r="A39" s="396" t="s">
        <v>307</v>
      </c>
    </row>
    <row r="40" spans="1:7" x14ac:dyDescent="0.25">
      <c r="A40" s="3" t="s">
        <v>230</v>
      </c>
    </row>
    <row r="41" spans="1:7" x14ac:dyDescent="0.25">
      <c r="A41" s="64" t="s">
        <v>227</v>
      </c>
    </row>
    <row r="42" spans="1:7" x14ac:dyDescent="0.25">
      <c r="A42" s="64" t="s">
        <v>228</v>
      </c>
    </row>
    <row r="43" spans="1:7" x14ac:dyDescent="0.25">
      <c r="A43" s="64" t="s">
        <v>229</v>
      </c>
    </row>
    <row r="44" spans="1:7" x14ac:dyDescent="0.25">
      <c r="A44" s="121" t="s">
        <v>231</v>
      </c>
    </row>
    <row r="45" spans="1:7" x14ac:dyDescent="0.25">
      <c r="A45" s="121" t="s">
        <v>232</v>
      </c>
    </row>
    <row r="46" spans="1:7" x14ac:dyDescent="0.25">
      <c r="A46" s="121" t="s">
        <v>178</v>
      </c>
    </row>
  </sheetData>
  <phoneticPr fontId="0" type="noConversion"/>
  <hyperlinks>
    <hyperlink ref="G36" r:id="rId1"/>
  </hyperlinks>
  <pageMargins left="0.75" right="0.75" top="1" bottom="1" header="0.5" footer="0.5"/>
  <pageSetup paperSize="5" scale="50" orientation="landscape" r:id="rId2"/>
  <headerFooter alignWithMargins="0">
    <oddFooter>&amp;L&amp;"Arial,Italic" 7/02/07&amp;C&amp;"Arial,Italic"&amp;A&amp;R&amp;"Arial,Italic"NJAES Report 2007-1 ©2007
New Jersey Agricultural Experiment Station</oddFooter>
  </headerFooter>
  <colBreaks count="1" manualBreakCount="1">
    <brk id="7" max="1048575" man="1"/>
  </col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D57"/>
  <sheetViews>
    <sheetView zoomScale="75" workbookViewId="0">
      <pane xSplit="2" ySplit="5" topLeftCell="C15" activePane="bottomRight" state="frozen"/>
      <selection activeCell="K23" sqref="K23"/>
      <selection pane="topRight" activeCell="K23" sqref="K23"/>
      <selection pane="bottomLeft" activeCell="K23" sqref="K23"/>
      <selection pane="bottomRight" activeCell="C29" sqref="C29"/>
    </sheetView>
  </sheetViews>
  <sheetFormatPr defaultColWidth="8.88671875" defaultRowHeight="13.2" x14ac:dyDescent="0.25"/>
  <cols>
    <col min="1" max="1" width="28.44140625" bestFit="1" customWidth="1"/>
    <col min="2" max="2" width="44.109375" customWidth="1"/>
    <col min="3" max="3" width="12.44140625" customWidth="1"/>
    <col min="4" max="4" width="38.6640625" customWidth="1"/>
    <col min="5" max="5" width="2" customWidth="1"/>
    <col min="6" max="9" width="8.88671875" customWidth="1"/>
    <col min="10" max="10" width="2" customWidth="1"/>
    <col min="11" max="11" width="11.44140625" customWidth="1"/>
    <col min="12" max="12" width="10.44140625" customWidth="1"/>
    <col min="13" max="14" width="11.33203125" customWidth="1"/>
    <col min="15" max="15" width="2" customWidth="1"/>
    <col min="16" max="16" width="9.44140625" customWidth="1"/>
    <col min="17" max="17" width="9.33203125" customWidth="1"/>
    <col min="18" max="19" width="9.6640625" customWidth="1"/>
    <col min="20" max="20" width="8.88671875" customWidth="1"/>
    <col min="21" max="21" width="9" customWidth="1"/>
    <col min="22" max="23" width="8.88671875" customWidth="1"/>
    <col min="24" max="24" width="7.88671875" customWidth="1"/>
    <col min="25" max="25" width="8.6640625" customWidth="1"/>
    <col min="26" max="27" width="9" customWidth="1"/>
    <col min="28" max="28" width="10.33203125" customWidth="1"/>
    <col min="29" max="29" width="10.109375" customWidth="1"/>
    <col min="30" max="32" width="10.44140625" customWidth="1"/>
    <col min="33" max="33" width="12" customWidth="1"/>
    <col min="34" max="35" width="10.44140625" customWidth="1"/>
    <col min="36" max="36" width="8.88671875" customWidth="1"/>
    <col min="37" max="37" width="10.6640625" customWidth="1"/>
    <col min="38" max="39" width="11.33203125" customWidth="1"/>
    <col min="40" max="40" width="10.44140625" customWidth="1"/>
    <col min="41" max="41" width="10.109375" customWidth="1"/>
    <col min="42" max="44" width="10.6640625" customWidth="1"/>
    <col min="45" max="45" width="10.33203125" customWidth="1"/>
    <col min="46" max="47" width="8.44140625" customWidth="1"/>
    <col min="48" max="48" width="9" customWidth="1"/>
    <col min="49" max="49" width="8.88671875" customWidth="1"/>
    <col min="50" max="51" width="9.6640625" customWidth="1"/>
    <col min="52" max="52" width="9.44140625" customWidth="1"/>
    <col min="53" max="53" width="8.88671875" customWidth="1"/>
    <col min="54" max="55" width="8" customWidth="1"/>
    <col min="56" max="56" width="8.88671875" customWidth="1"/>
    <col min="57" max="57" width="9" customWidth="1"/>
    <col min="58" max="59" width="9.44140625" customWidth="1"/>
    <col min="60" max="60" width="9.6640625" customWidth="1"/>
    <col min="61" max="61" width="9.44140625" customWidth="1"/>
    <col min="62" max="63" width="9.33203125" customWidth="1"/>
    <col min="64" max="64" width="10.109375" customWidth="1"/>
    <col min="65" max="65" width="11.88671875" customWidth="1"/>
    <col min="66" max="67" width="11.33203125" customWidth="1"/>
    <col min="68" max="76" width="14.6640625" customWidth="1"/>
    <col min="77" max="80" width="8.88671875" customWidth="1"/>
    <col min="81" max="81" width="32" bestFit="1" customWidth="1"/>
  </cols>
  <sheetData>
    <row r="1" spans="1:82" ht="13.8" x14ac:dyDescent="0.25">
      <c r="A1" s="353"/>
      <c r="E1" s="83"/>
      <c r="F1" s="396" t="s">
        <v>364</v>
      </c>
      <c r="J1" s="83"/>
      <c r="K1" s="80" t="s">
        <v>365</v>
      </c>
      <c r="O1" s="83"/>
    </row>
    <row r="2" spans="1:82" ht="13.8" x14ac:dyDescent="0.25">
      <c r="C2" s="1089" t="s">
        <v>432</v>
      </c>
      <c r="D2" s="1089"/>
      <c r="E2" s="83"/>
      <c r="F2" s="317" t="str">
        <f>'Bioenergy Calculator'!B3</f>
        <v>None</v>
      </c>
      <c r="G2" s="318"/>
      <c r="H2" s="319"/>
      <c r="I2" s="318"/>
      <c r="J2" s="116"/>
      <c r="K2" s="317" t="str">
        <f>'Bioenergy Calculator'!B4</f>
        <v>None</v>
      </c>
      <c r="L2" s="318"/>
      <c r="M2" s="319"/>
      <c r="N2" s="322"/>
      <c r="O2" s="84"/>
      <c r="P2" s="54"/>
      <c r="Q2" s="67"/>
      <c r="R2" s="67"/>
      <c r="S2" s="67"/>
      <c r="T2" s="67"/>
      <c r="U2" s="67"/>
      <c r="V2" s="67"/>
      <c r="W2" s="67"/>
      <c r="X2" s="67"/>
      <c r="Y2" s="67"/>
      <c r="Z2" s="67"/>
      <c r="AA2" s="67"/>
      <c r="AB2" s="67"/>
      <c r="AC2" s="67"/>
      <c r="AD2" s="67"/>
      <c r="AE2" s="67"/>
      <c r="AF2" s="67"/>
      <c r="AG2" s="67"/>
      <c r="AH2" s="67"/>
      <c r="AI2" s="67"/>
      <c r="AJ2" s="55"/>
      <c r="AK2" s="52"/>
      <c r="AL2" s="52"/>
      <c r="AM2" s="52"/>
      <c r="AN2" s="52"/>
      <c r="AO2" s="52"/>
      <c r="AP2" s="52"/>
      <c r="AQ2" s="52"/>
      <c r="AR2" s="52"/>
      <c r="AS2" s="52"/>
      <c r="AT2" s="52"/>
      <c r="AU2" s="52"/>
      <c r="AV2" s="52"/>
      <c r="AW2" s="52"/>
      <c r="AX2" s="52"/>
      <c r="AY2" s="52"/>
      <c r="AZ2" s="52"/>
      <c r="BA2" s="52"/>
      <c r="BB2" s="52"/>
      <c r="BC2" s="52"/>
      <c r="BD2" s="52"/>
      <c r="BE2" s="52"/>
      <c r="BF2" s="52"/>
      <c r="BG2" s="52"/>
      <c r="BH2" s="52"/>
      <c r="BI2" s="52"/>
      <c r="BJ2" s="52"/>
      <c r="BK2" s="52"/>
      <c r="BL2" s="52"/>
      <c r="BM2" s="52"/>
      <c r="BN2" s="52"/>
      <c r="BO2" s="52"/>
      <c r="BP2" s="52"/>
      <c r="BQ2" s="52"/>
      <c r="BR2" s="52"/>
      <c r="BS2" s="52"/>
      <c r="BT2" s="52"/>
      <c r="BU2" s="52"/>
      <c r="BV2" s="52"/>
      <c r="BW2" s="52"/>
      <c r="BX2" s="52"/>
      <c r="BY2" s="52"/>
    </row>
    <row r="3" spans="1:82" ht="13.8" thickBot="1" x14ac:dyDescent="0.3">
      <c r="B3" s="51"/>
      <c r="E3" s="83"/>
      <c r="J3" s="83"/>
      <c r="O3" s="83"/>
      <c r="BH3" t="s">
        <v>22</v>
      </c>
    </row>
    <row r="4" spans="1:82" ht="37.5" customHeight="1" x14ac:dyDescent="0.25">
      <c r="A4" s="1095" t="s">
        <v>567</v>
      </c>
      <c r="B4" s="1097" t="s">
        <v>506</v>
      </c>
      <c r="C4" s="1099" t="s">
        <v>316</v>
      </c>
      <c r="D4" s="1090"/>
      <c r="E4" s="235"/>
      <c r="F4" s="1103" t="s">
        <v>1153</v>
      </c>
      <c r="G4" s="1104"/>
      <c r="H4" s="1105"/>
      <c r="I4" s="1106"/>
      <c r="J4" s="236"/>
      <c r="K4" s="1103" t="s">
        <v>1152</v>
      </c>
      <c r="L4" s="1104"/>
      <c r="M4" s="1105"/>
      <c r="N4" s="1106"/>
      <c r="O4" s="236"/>
      <c r="P4" s="1107" t="s">
        <v>1142</v>
      </c>
      <c r="Q4" s="1091"/>
      <c r="R4" s="1091"/>
      <c r="S4" s="1091"/>
      <c r="T4" s="1090" t="s">
        <v>273</v>
      </c>
      <c r="U4" s="1091"/>
      <c r="V4" s="1091"/>
      <c r="W4" s="1091"/>
      <c r="X4" s="1090" t="s">
        <v>995</v>
      </c>
      <c r="Y4" s="1091"/>
      <c r="Z4" s="1091"/>
      <c r="AA4" s="1091"/>
      <c r="AB4" s="1090" t="s">
        <v>1143</v>
      </c>
      <c r="AC4" s="1091"/>
      <c r="AD4" s="1091"/>
      <c r="AE4" s="1091"/>
      <c r="AF4" s="1090" t="s">
        <v>1144</v>
      </c>
      <c r="AG4" s="1091"/>
      <c r="AH4" s="1091"/>
      <c r="AI4" s="1091"/>
      <c r="AJ4" s="1090" t="s">
        <v>1145</v>
      </c>
      <c r="AK4" s="1091"/>
      <c r="AL4" s="1091"/>
      <c r="AM4" s="1091"/>
      <c r="AN4" s="1090" t="s">
        <v>1146</v>
      </c>
      <c r="AO4" s="1091"/>
      <c r="AP4" s="1091"/>
      <c r="AQ4" s="1091"/>
      <c r="AR4" s="1090" t="s">
        <v>1147</v>
      </c>
      <c r="AS4" s="1107"/>
      <c r="AT4" s="1107"/>
      <c r="AU4" s="1091"/>
      <c r="AV4" s="1090" t="s">
        <v>1148</v>
      </c>
      <c r="AW4" s="1107"/>
      <c r="AX4" s="1107"/>
      <c r="AY4" s="1091"/>
      <c r="AZ4" s="1090" t="s">
        <v>1149</v>
      </c>
      <c r="BA4" s="1091"/>
      <c r="BB4" s="1091"/>
      <c r="BC4" s="1091"/>
      <c r="BD4" s="1090" t="s">
        <v>1150</v>
      </c>
      <c r="BE4" s="1091"/>
      <c r="BF4" s="1091"/>
      <c r="BG4" s="1091"/>
      <c r="BH4" s="1090" t="s">
        <v>996</v>
      </c>
      <c r="BI4" s="1091"/>
      <c r="BJ4" s="1091"/>
      <c r="BK4" s="1091"/>
      <c r="BL4" s="1090" t="s">
        <v>1151</v>
      </c>
      <c r="BM4" s="1091"/>
      <c r="BN4" s="1091"/>
      <c r="BO4" s="1108"/>
      <c r="BZ4" s="55"/>
    </row>
    <row r="5" spans="1:82" x14ac:dyDescent="0.25">
      <c r="A5" s="1096"/>
      <c r="B5" s="1098"/>
      <c r="C5" s="22" t="s">
        <v>363</v>
      </c>
      <c r="D5" s="22" t="s">
        <v>315</v>
      </c>
      <c r="E5" s="329"/>
      <c r="F5" s="330">
        <v>2010</v>
      </c>
      <c r="G5" s="156">
        <v>2015</v>
      </c>
      <c r="H5" s="156">
        <v>2020</v>
      </c>
      <c r="I5" s="260">
        <v>2025</v>
      </c>
      <c r="J5" s="340"/>
      <c r="K5" s="330">
        <v>2010</v>
      </c>
      <c r="L5" s="156">
        <v>2015</v>
      </c>
      <c r="M5" s="321">
        <v>2020</v>
      </c>
      <c r="N5" s="260">
        <v>2025</v>
      </c>
      <c r="O5" s="341"/>
      <c r="P5" s="22">
        <v>2010</v>
      </c>
      <c r="Q5" s="22">
        <v>2015</v>
      </c>
      <c r="R5" s="22">
        <v>2020</v>
      </c>
      <c r="S5" s="22">
        <v>2025</v>
      </c>
      <c r="T5" s="324">
        <v>2010</v>
      </c>
      <c r="U5" s="22">
        <v>2015</v>
      </c>
      <c r="V5" s="22">
        <v>2020</v>
      </c>
      <c r="W5" s="22">
        <v>2025</v>
      </c>
      <c r="X5" s="324">
        <v>2010</v>
      </c>
      <c r="Y5" s="22">
        <v>2015</v>
      </c>
      <c r="Z5" s="22">
        <v>2020</v>
      </c>
      <c r="AA5" s="22">
        <v>2025</v>
      </c>
      <c r="AB5" s="324">
        <v>2010</v>
      </c>
      <c r="AC5" s="22">
        <v>2015</v>
      </c>
      <c r="AD5" s="22">
        <v>2020</v>
      </c>
      <c r="AE5" s="22">
        <v>2025</v>
      </c>
      <c r="AF5" s="22">
        <v>2010</v>
      </c>
      <c r="AG5" s="22">
        <v>2015</v>
      </c>
      <c r="AH5" s="22">
        <v>2020</v>
      </c>
      <c r="AI5" s="22">
        <v>2025</v>
      </c>
      <c r="AJ5" s="324">
        <v>2010</v>
      </c>
      <c r="AK5" s="22">
        <v>2015</v>
      </c>
      <c r="AL5" s="22">
        <v>2020</v>
      </c>
      <c r="AM5" s="22">
        <v>2025</v>
      </c>
      <c r="AN5" s="324">
        <v>2010</v>
      </c>
      <c r="AO5" s="22">
        <v>2015</v>
      </c>
      <c r="AP5" s="22">
        <v>2020</v>
      </c>
      <c r="AQ5" s="22">
        <v>2025</v>
      </c>
      <c r="AR5" s="324">
        <v>2010</v>
      </c>
      <c r="AS5" s="22">
        <v>2015</v>
      </c>
      <c r="AT5" s="22">
        <v>2020</v>
      </c>
      <c r="AU5" s="22">
        <v>2025</v>
      </c>
      <c r="AV5" s="324">
        <v>2010</v>
      </c>
      <c r="AW5" s="22">
        <v>2015</v>
      </c>
      <c r="AX5" s="22">
        <v>2020</v>
      </c>
      <c r="AY5" s="22">
        <v>2025</v>
      </c>
      <c r="AZ5" s="324">
        <v>2010</v>
      </c>
      <c r="BA5" s="22">
        <v>2015</v>
      </c>
      <c r="BB5" s="22">
        <v>2020</v>
      </c>
      <c r="BC5" s="22">
        <v>2025</v>
      </c>
      <c r="BD5" s="324">
        <v>2010</v>
      </c>
      <c r="BE5" s="22">
        <v>2015</v>
      </c>
      <c r="BF5" s="22">
        <v>2020</v>
      </c>
      <c r="BG5" s="22">
        <v>2025</v>
      </c>
      <c r="BH5" s="324">
        <v>2010</v>
      </c>
      <c r="BI5" s="22">
        <v>2015</v>
      </c>
      <c r="BJ5" s="22">
        <v>2020</v>
      </c>
      <c r="BK5" s="22">
        <v>2025</v>
      </c>
      <c r="BL5" s="324">
        <v>2010</v>
      </c>
      <c r="BM5" s="22">
        <v>2015</v>
      </c>
      <c r="BN5" s="22">
        <v>2020</v>
      </c>
      <c r="BO5" s="327">
        <v>2025</v>
      </c>
      <c r="BZ5" s="51"/>
    </row>
    <row r="6" spans="1:82" x14ac:dyDescent="0.25">
      <c r="A6" s="1092" t="s">
        <v>513</v>
      </c>
      <c r="B6" s="1" t="s">
        <v>511</v>
      </c>
      <c r="C6" s="51"/>
      <c r="D6" s="51"/>
      <c r="E6" s="84"/>
      <c r="F6" s="331"/>
      <c r="G6" s="144"/>
      <c r="H6" s="144"/>
      <c r="I6" s="332"/>
      <c r="J6" s="338"/>
      <c r="K6" s="331"/>
      <c r="L6" s="144"/>
      <c r="M6" s="144"/>
      <c r="N6" s="332"/>
      <c r="O6" s="84"/>
      <c r="P6" s="70"/>
      <c r="Q6" s="52"/>
      <c r="R6" s="52"/>
      <c r="S6" s="62"/>
      <c r="T6" s="52"/>
      <c r="U6" s="52"/>
      <c r="V6" s="52"/>
      <c r="W6" s="62"/>
      <c r="X6" s="91"/>
      <c r="Y6" s="52"/>
      <c r="Z6" s="52"/>
      <c r="AA6" s="62"/>
      <c r="AB6" s="52"/>
      <c r="AC6" s="52"/>
      <c r="AD6" s="52"/>
      <c r="AE6" s="62"/>
      <c r="AF6" s="68"/>
      <c r="AG6" s="51"/>
      <c r="AH6" s="51"/>
      <c r="AI6" s="65"/>
      <c r="AJ6" s="52"/>
      <c r="AK6" s="52"/>
      <c r="AL6" s="52"/>
      <c r="AM6" s="62"/>
      <c r="AN6" s="52"/>
      <c r="AO6" s="52"/>
      <c r="AP6" s="52"/>
      <c r="AQ6" s="62"/>
      <c r="AR6" s="52"/>
      <c r="AS6" s="52"/>
      <c r="AT6" s="52"/>
      <c r="AU6" s="62"/>
      <c r="AV6" s="52"/>
      <c r="AW6" s="52"/>
      <c r="AX6" s="52"/>
      <c r="AY6" s="62"/>
      <c r="AZ6" s="52"/>
      <c r="BA6" s="52"/>
      <c r="BB6" s="52"/>
      <c r="BC6" s="62"/>
      <c r="BD6" s="52"/>
      <c r="BE6" s="52"/>
      <c r="BF6" s="52"/>
      <c r="BG6" s="62"/>
      <c r="BH6" s="91"/>
      <c r="BI6" s="91"/>
      <c r="BJ6" s="91"/>
      <c r="BK6" s="147"/>
      <c r="BL6" s="52"/>
      <c r="BM6" s="52"/>
      <c r="BN6" s="52"/>
      <c r="BO6" s="328"/>
      <c r="BY6" s="52"/>
      <c r="BZ6" s="52"/>
    </row>
    <row r="7" spans="1:82" ht="12.75" customHeight="1" x14ac:dyDescent="0.25">
      <c r="A7" s="1100"/>
      <c r="B7" s="11" t="s">
        <v>519</v>
      </c>
      <c r="C7" s="31" t="s">
        <v>431</v>
      </c>
      <c r="D7" s="31"/>
      <c r="E7" s="118"/>
      <c r="F7" s="172" t="str">
        <f>IF($F$2='Bioenergy Calculator'!$X$9,AF7,IF($F$2='Bioenergy Calculator'!$X$10,AJ7,IF($F$2='Bioenergy Calculator'!$X$11,AN7,IF($F$2='Bioenergy Calculator'!$X$12,P7,IF($F$2='Bioenergy Calculator'!$X$13,AR7,IF($F$2='Bioenergy Calculator'!$X$14,AV7,IF($F$2='Bioenergy Calculator'!$X$15,AZ7,"NA")))))))</f>
        <v>NA</v>
      </c>
      <c r="G7" s="51" t="str">
        <f>IF($F$2='Bioenergy Calculator'!$X$9,AG7,IF($F$2='Bioenergy Calculator'!$X$10,AK7,IF($F$2='Bioenergy Calculator'!$X$11,AO7,IF($F$2='Bioenergy Calculator'!$X$12,Q7,IF($F$2='Bioenergy Calculator'!$X$13,AS7,IF($F$2='Bioenergy Calculator'!$X$14,AW7,IF($F$2='Bioenergy Calculator'!$X$15,BA7,"NA")))))))</f>
        <v>NA</v>
      </c>
      <c r="H7" s="51" t="str">
        <f>IF($F$2='Bioenergy Calculator'!$X$9,AH7,IF($F$2='Bioenergy Calculator'!$X$10,AL7,IF($F$2='Bioenergy Calculator'!$X$11,AP7,IF($F$2='Bioenergy Calculator'!$X$12,R7,IF($F$2='Bioenergy Calculator'!$X$13,AT7,IF($F$2='Bioenergy Calculator'!$X$14,AX7,IF($F$2='Bioenergy Calculator'!$X$15,BB7,"NA")))))))</f>
        <v>NA</v>
      </c>
      <c r="I7" s="140" t="str">
        <f>IF($F$2='Bioenergy Calculator'!$X$9,AI7,IF($F$2='Bioenergy Calculator'!$X$10,AM7,IF($F$2='Bioenergy Calculator'!$X$11,AQ7,IF($F$2='Bioenergy Calculator'!$X$12,S7,IF($F$2='Bioenergy Calculator'!$X$13,AU7,IF($F$2='Bioenergy Calculator'!$X$14,AY7,IF($F$2='Bioenergy Calculator'!$X$15,BC7,"NA")))))))</f>
        <v>NA</v>
      </c>
      <c r="J7" s="84"/>
      <c r="K7" s="172" t="str">
        <f>IF($K$2='Bioenergy Calculator'!$X$21,X7,IF($K$2='Bioenergy Calculator'!$X$22,BH7,IF($K$2='Bioenergy Calculator'!$X$23,BD7,IF($K$2='Bioenergy Calculator'!$X$19,T7,IF($K$2='Bioenergy Calculator'!$X$20,AB7,IF($K$2='Bioenergy Calculator'!$X$24,'Conversion Tables'!BL7,"NA"))))))</f>
        <v>NA</v>
      </c>
      <c r="L7" s="51" t="str">
        <f>IF($K$2='Bioenergy Calculator'!$X$21,Y7,IF($K$2='Bioenergy Calculator'!$X$22,BI7,IF($K$2='Bioenergy Calculator'!$X$23,BE7,IF($K$2='Bioenergy Calculator'!$X$19,U7,IF($K$2='Bioenergy Calculator'!$X$20,AC7,IF($K$2='Bioenergy Calculator'!$X$24,'Conversion Tables'!BM7,"NA"))))))</f>
        <v>NA</v>
      </c>
      <c r="M7" s="51" t="str">
        <f>IF($K$2='Bioenergy Calculator'!$X$21,Z7,IF($K$2='Bioenergy Calculator'!$X$22,BJ7,IF($K$2='Bioenergy Calculator'!$X$23,BF7,IF($K$2='Bioenergy Calculator'!$X$19,V7,IF($K$2='Bioenergy Calculator'!$X$20,AD7,IF($K$2='Bioenergy Calculator'!$X$24,'Conversion Tables'!BN7,"NA"))))))</f>
        <v>NA</v>
      </c>
      <c r="N7" s="140" t="str">
        <f>IF($K$2='Bioenergy Calculator'!$X$21,AA7,IF($K$2='Bioenergy Calculator'!$X$22,BK7,IF($K$2='Bioenergy Calculator'!$X$23,BG7,IF($K$2='Bioenergy Calculator'!$X$19,W7,IF($K$2='Bioenergy Calculator'!$X$20,AE7,IF($K$2='Bioenergy Calculator'!$X$24,'Conversion Tables'!BO7,"NA"))))))</f>
        <v>NA</v>
      </c>
      <c r="O7" s="84"/>
      <c r="P7" s="68" t="s">
        <v>431</v>
      </c>
      <c r="Q7" s="51" t="s">
        <v>431</v>
      </c>
      <c r="R7" s="51" t="s">
        <v>431</v>
      </c>
      <c r="S7" s="65" t="s">
        <v>431</v>
      </c>
      <c r="T7" s="74">
        <f>'Technology Assumptions'!B16</f>
        <v>2.8</v>
      </c>
      <c r="U7" s="74">
        <f>'Technology Assumptions'!C16</f>
        <v>2.8</v>
      </c>
      <c r="V7" s="74">
        <f>'Technology Assumptions'!D16</f>
        <v>2.9</v>
      </c>
      <c r="W7" s="75">
        <f>'Technology Assumptions'!E16</f>
        <v>3</v>
      </c>
      <c r="X7" s="91" t="s">
        <v>431</v>
      </c>
      <c r="Y7" s="91" t="s">
        <v>431</v>
      </c>
      <c r="Z7" s="91" t="s">
        <v>431</v>
      </c>
      <c r="AA7" s="147" t="s">
        <v>431</v>
      </c>
      <c r="AB7" s="51" t="s">
        <v>431</v>
      </c>
      <c r="AC7" s="51" t="s">
        <v>431</v>
      </c>
      <c r="AD7" s="51" t="s">
        <v>431</v>
      </c>
      <c r="AE7" s="65" t="s">
        <v>431</v>
      </c>
      <c r="AF7" s="68" t="s">
        <v>431</v>
      </c>
      <c r="AG7" s="51" t="s">
        <v>431</v>
      </c>
      <c r="AH7" s="51" t="s">
        <v>431</v>
      </c>
      <c r="AI7" s="65" t="s">
        <v>431</v>
      </c>
      <c r="AJ7" s="51" t="s">
        <v>431</v>
      </c>
      <c r="AK7" s="51" t="s">
        <v>431</v>
      </c>
      <c r="AL7" s="51" t="s">
        <v>431</v>
      </c>
      <c r="AM7" s="65" t="s">
        <v>431</v>
      </c>
      <c r="AN7" s="51" t="s">
        <v>431</v>
      </c>
      <c r="AO7" s="51" t="s">
        <v>431</v>
      </c>
      <c r="AP7" s="51" t="s">
        <v>431</v>
      </c>
      <c r="AQ7" s="65" t="s">
        <v>431</v>
      </c>
      <c r="AR7" s="51" t="s">
        <v>431</v>
      </c>
      <c r="AS7" s="51" t="s">
        <v>431</v>
      </c>
      <c r="AT7" s="51" t="s">
        <v>431</v>
      </c>
      <c r="AU7" s="65" t="s">
        <v>431</v>
      </c>
      <c r="AV7" s="51" t="s">
        <v>431</v>
      </c>
      <c r="AW7" s="51" t="s">
        <v>431</v>
      </c>
      <c r="AX7" s="51" t="s">
        <v>431</v>
      </c>
      <c r="AY7" s="65" t="s">
        <v>431</v>
      </c>
      <c r="AZ7" s="51" t="s">
        <v>431</v>
      </c>
      <c r="BA7" s="51" t="s">
        <v>431</v>
      </c>
      <c r="BB7" s="51" t="s">
        <v>431</v>
      </c>
      <c r="BC7" s="65" t="s">
        <v>431</v>
      </c>
      <c r="BD7" s="51" t="s">
        <v>431</v>
      </c>
      <c r="BE7" s="51" t="s">
        <v>431</v>
      </c>
      <c r="BF7" s="51" t="s">
        <v>431</v>
      </c>
      <c r="BG7" s="65" t="s">
        <v>431</v>
      </c>
      <c r="BH7" s="52" t="s">
        <v>431</v>
      </c>
      <c r="BI7" s="52" t="s">
        <v>431</v>
      </c>
      <c r="BJ7" s="52" t="s">
        <v>431</v>
      </c>
      <c r="BK7" s="62" t="s">
        <v>431</v>
      </c>
      <c r="BL7" s="51" t="s">
        <v>431</v>
      </c>
      <c r="BM7" s="51" t="s">
        <v>431</v>
      </c>
      <c r="BN7" s="51" t="s">
        <v>431</v>
      </c>
      <c r="BO7" s="140" t="s">
        <v>431</v>
      </c>
      <c r="BZ7" s="53"/>
      <c r="CD7" s="57"/>
    </row>
    <row r="8" spans="1:82" x14ac:dyDescent="0.25">
      <c r="A8" s="1100"/>
      <c r="B8" s="11" t="s">
        <v>520</v>
      </c>
      <c r="C8" s="31" t="s">
        <v>431</v>
      </c>
      <c r="D8" s="31"/>
      <c r="E8" s="118"/>
      <c r="F8" s="172" t="str">
        <f>IF($F$2='Bioenergy Calculator'!$X$9,AF8,IF($F$2='Bioenergy Calculator'!$X$10,AJ8,IF($F$2='Bioenergy Calculator'!$X$11,AN8,IF($F$2='Bioenergy Calculator'!$X$12,P8,IF($F$2='Bioenergy Calculator'!$X$13,AR8,IF($F$2='Bioenergy Calculator'!$X$14,AV8,IF($F$2='Bioenergy Calculator'!$X$15,AZ8,"NA")))))))</f>
        <v>NA</v>
      </c>
      <c r="G8" s="51" t="str">
        <f>IF($F$2='Bioenergy Calculator'!$X$9,AG8,IF($F$2='Bioenergy Calculator'!$X$10,AK8,IF($F$2='Bioenergy Calculator'!$X$11,AO8,IF($F$2='Bioenergy Calculator'!$X$12,Q8,IF($F$2='Bioenergy Calculator'!$X$13,AS8,IF($F$2='Bioenergy Calculator'!$X$14,AW8,IF($F$2='Bioenergy Calculator'!$X$15,BA8,"NA")))))))</f>
        <v>NA</v>
      </c>
      <c r="H8" s="51" t="str">
        <f>IF($F$2='Bioenergy Calculator'!$X$9,AH8,IF($F$2='Bioenergy Calculator'!$X$10,AL8,IF($F$2='Bioenergy Calculator'!$X$11,AP8,IF($F$2='Bioenergy Calculator'!$X$12,R8,IF($F$2='Bioenergy Calculator'!$X$13,AT8,IF($F$2='Bioenergy Calculator'!$X$14,AX8,IF($F$2='Bioenergy Calculator'!$X$15,BB8,"NA")))))))</f>
        <v>NA</v>
      </c>
      <c r="I8" s="140" t="str">
        <f>IF($F$2='Bioenergy Calculator'!$X$9,AI8,IF($F$2='Bioenergy Calculator'!$X$10,AM8,IF($F$2='Bioenergy Calculator'!$X$11,AQ8,IF($F$2='Bioenergy Calculator'!$X$12,S8,IF($F$2='Bioenergy Calculator'!$X$13,AU8,IF($F$2='Bioenergy Calculator'!$X$14,AY8,IF($F$2='Bioenergy Calculator'!$X$15,BC8,"NA")))))))</f>
        <v>NA</v>
      </c>
      <c r="J8" s="84"/>
      <c r="K8" s="172" t="str">
        <f>IF($K$2='Bioenergy Calculator'!$X$21,X8,IF($K$2='Bioenergy Calculator'!$X$22,BH8,IF($K$2='Bioenergy Calculator'!$X$23,BD8,IF($K$2='Bioenergy Calculator'!$X$19,T8,IF($K$2='Bioenergy Calculator'!$X$20,AB8,IF($K$2='Bioenergy Calculator'!$X$24,'Conversion Tables'!BL8,"NA"))))))</f>
        <v>NA</v>
      </c>
      <c r="L8" s="51" t="str">
        <f>IF($K$2='Bioenergy Calculator'!$X$21,Y8,IF($K$2='Bioenergy Calculator'!$X$22,BI8,IF($K$2='Bioenergy Calculator'!$X$23,BE8,IF($K$2='Bioenergy Calculator'!$X$19,U8,IF($K$2='Bioenergy Calculator'!$X$20,AC8,IF($K$2='Bioenergy Calculator'!$X$24,'Conversion Tables'!BM8,"NA"))))))</f>
        <v>NA</v>
      </c>
      <c r="M8" s="51" t="str">
        <f>IF($K$2='Bioenergy Calculator'!$X$21,Z8,IF($K$2='Bioenergy Calculator'!$X$22,BJ8,IF($K$2='Bioenergy Calculator'!$X$23,BF8,IF($K$2='Bioenergy Calculator'!$X$19,V8,IF($K$2='Bioenergy Calculator'!$X$20,AD8,IF($K$2='Bioenergy Calculator'!$X$24,'Conversion Tables'!BN8,"NA"))))))</f>
        <v>NA</v>
      </c>
      <c r="N8" s="140" t="str">
        <f>IF($K$2='Bioenergy Calculator'!$X$21,AA8,IF($K$2='Bioenergy Calculator'!$X$22,BK8,IF($K$2='Bioenergy Calculator'!$X$23,BG8,IF($K$2='Bioenergy Calculator'!$X$19,W8,IF($K$2='Bioenergy Calculator'!$X$20,AE8,IF($K$2='Bioenergy Calculator'!$X$24,'Conversion Tables'!BO8,"NA"))))))</f>
        <v>NA</v>
      </c>
      <c r="O8" s="84"/>
      <c r="P8" s="68" t="s">
        <v>431</v>
      </c>
      <c r="Q8" s="51" t="s">
        <v>431</v>
      </c>
      <c r="R8" s="51" t="s">
        <v>431</v>
      </c>
      <c r="S8" s="65" t="s">
        <v>431</v>
      </c>
      <c r="T8" s="74">
        <f>'Technology Assumptions'!B17</f>
        <v>2.5</v>
      </c>
      <c r="U8" s="74">
        <f>'Technology Assumptions'!C17</f>
        <v>2.5</v>
      </c>
      <c r="V8" s="74">
        <f>'Technology Assumptions'!D17</f>
        <v>2.5</v>
      </c>
      <c r="W8" s="75">
        <f>'Technology Assumptions'!E17</f>
        <v>2.5</v>
      </c>
      <c r="X8" s="91" t="s">
        <v>431</v>
      </c>
      <c r="Y8" s="91" t="s">
        <v>431</v>
      </c>
      <c r="Z8" s="91" t="s">
        <v>431</v>
      </c>
      <c r="AA8" s="147" t="s">
        <v>431</v>
      </c>
      <c r="AB8" s="51" t="s">
        <v>431</v>
      </c>
      <c r="AC8" s="51" t="s">
        <v>431</v>
      </c>
      <c r="AD8" s="51" t="s">
        <v>431</v>
      </c>
      <c r="AE8" s="65" t="s">
        <v>431</v>
      </c>
      <c r="AF8" s="68" t="s">
        <v>431</v>
      </c>
      <c r="AG8" s="51" t="s">
        <v>431</v>
      </c>
      <c r="AH8" s="51" t="s">
        <v>431</v>
      </c>
      <c r="AI8" s="65" t="s">
        <v>431</v>
      </c>
      <c r="AJ8" s="51" t="s">
        <v>431</v>
      </c>
      <c r="AK8" s="51" t="s">
        <v>431</v>
      </c>
      <c r="AL8" s="51" t="s">
        <v>431</v>
      </c>
      <c r="AM8" s="65" t="s">
        <v>431</v>
      </c>
      <c r="AN8" s="51" t="s">
        <v>431</v>
      </c>
      <c r="AO8" s="51" t="s">
        <v>431</v>
      </c>
      <c r="AP8" s="51" t="s">
        <v>431</v>
      </c>
      <c r="AQ8" s="65" t="s">
        <v>431</v>
      </c>
      <c r="AR8" s="51" t="s">
        <v>431</v>
      </c>
      <c r="AS8" s="51" t="s">
        <v>431</v>
      </c>
      <c r="AT8" s="51" t="s">
        <v>431</v>
      </c>
      <c r="AU8" s="65" t="s">
        <v>431</v>
      </c>
      <c r="AV8" s="51" t="s">
        <v>431</v>
      </c>
      <c r="AW8" s="51" t="s">
        <v>431</v>
      </c>
      <c r="AX8" s="51" t="s">
        <v>431</v>
      </c>
      <c r="AY8" s="65" t="s">
        <v>431</v>
      </c>
      <c r="AZ8" s="51" t="s">
        <v>431</v>
      </c>
      <c r="BA8" s="51" t="s">
        <v>431</v>
      </c>
      <c r="BB8" s="51" t="s">
        <v>431</v>
      </c>
      <c r="BC8" s="65" t="s">
        <v>431</v>
      </c>
      <c r="BD8" s="51" t="s">
        <v>431</v>
      </c>
      <c r="BE8" s="51" t="s">
        <v>431</v>
      </c>
      <c r="BF8" s="51" t="s">
        <v>431</v>
      </c>
      <c r="BG8" s="65" t="s">
        <v>431</v>
      </c>
      <c r="BH8" s="52" t="s">
        <v>431</v>
      </c>
      <c r="BI8" s="52" t="s">
        <v>431</v>
      </c>
      <c r="BJ8" s="52" t="s">
        <v>431</v>
      </c>
      <c r="BK8" s="62" t="s">
        <v>431</v>
      </c>
      <c r="BL8" s="51" t="s">
        <v>431</v>
      </c>
      <c r="BM8" s="51" t="s">
        <v>431</v>
      </c>
      <c r="BN8" s="51" t="s">
        <v>431</v>
      </c>
      <c r="BO8" s="140" t="s">
        <v>431</v>
      </c>
      <c r="BZ8" s="54"/>
    </row>
    <row r="9" spans="1:82" x14ac:dyDescent="0.25">
      <c r="A9" s="1100"/>
      <c r="B9" s="11" t="s">
        <v>521</v>
      </c>
      <c r="C9" s="31" t="s">
        <v>431</v>
      </c>
      <c r="D9" s="31"/>
      <c r="E9" s="118"/>
      <c r="F9" s="172" t="str">
        <f>IF($F$2='Bioenergy Calculator'!$X$9,AF9,IF($F$2='Bioenergy Calculator'!$X$10,AJ9,IF($F$2='Bioenergy Calculator'!$X$11,AN9,IF($F$2='Bioenergy Calculator'!$X$12,P9,IF($F$2='Bioenergy Calculator'!$X$13,AR9,IF($F$2='Bioenergy Calculator'!$X$14,AV9,IF($F$2='Bioenergy Calculator'!$X$15,AZ9,"NA")))))))</f>
        <v>NA</v>
      </c>
      <c r="G9" s="51" t="str">
        <f>IF($F$2='Bioenergy Calculator'!$X$9,AG9,IF($F$2='Bioenergy Calculator'!$X$10,AK9,IF($F$2='Bioenergy Calculator'!$X$11,AO9,IF($F$2='Bioenergy Calculator'!$X$12,Q9,IF($F$2='Bioenergy Calculator'!$X$13,AS9,IF($F$2='Bioenergy Calculator'!$X$14,AW9,IF($F$2='Bioenergy Calculator'!$X$15,BA9,"NA")))))))</f>
        <v>NA</v>
      </c>
      <c r="H9" s="51" t="str">
        <f>IF($F$2='Bioenergy Calculator'!$X$9,AH9,IF($F$2='Bioenergy Calculator'!$X$10,AL9,IF($F$2='Bioenergy Calculator'!$X$11,AP9,IF($F$2='Bioenergy Calculator'!$X$12,R9,IF($F$2='Bioenergy Calculator'!$X$13,AT9,IF($F$2='Bioenergy Calculator'!$X$14,AX9,IF($F$2='Bioenergy Calculator'!$X$15,BB9,"NA")))))))</f>
        <v>NA</v>
      </c>
      <c r="I9" s="140" t="str">
        <f>IF($F$2='Bioenergy Calculator'!$X$9,AI9,IF($F$2='Bioenergy Calculator'!$X$10,AM9,IF($F$2='Bioenergy Calculator'!$X$11,AQ9,IF($F$2='Bioenergy Calculator'!$X$12,S9,IF($F$2='Bioenergy Calculator'!$X$13,AU9,IF($F$2='Bioenergy Calculator'!$X$14,AY9,IF($F$2='Bioenergy Calculator'!$X$15,BC9,"NA")))))))</f>
        <v>NA</v>
      </c>
      <c r="J9" s="84"/>
      <c r="K9" s="172" t="str">
        <f>IF($K$2='Bioenergy Calculator'!$X$21,X9,IF($K$2='Bioenergy Calculator'!$X$22,BH9,IF($K$2='Bioenergy Calculator'!$X$23,BD9,IF($K$2='Bioenergy Calculator'!$X$19,T9,IF($K$2='Bioenergy Calculator'!$X$20,AB9,IF($K$2='Bioenergy Calculator'!$X$24,'Conversion Tables'!BL9,"NA"))))))</f>
        <v>NA</v>
      </c>
      <c r="L9" s="51" t="str">
        <f>IF($K$2='Bioenergy Calculator'!$X$21,Y9,IF($K$2='Bioenergy Calculator'!$X$22,BI9,IF($K$2='Bioenergy Calculator'!$X$23,BE9,IF($K$2='Bioenergy Calculator'!$X$19,U9,IF($K$2='Bioenergy Calculator'!$X$20,AC9,IF($K$2='Bioenergy Calculator'!$X$24,'Conversion Tables'!BM9,"NA"))))))</f>
        <v>NA</v>
      </c>
      <c r="M9" s="51" t="str">
        <f>IF($K$2='Bioenergy Calculator'!$X$21,Z9,IF($K$2='Bioenergy Calculator'!$X$22,BJ9,IF($K$2='Bioenergy Calculator'!$X$23,BF9,IF($K$2='Bioenergy Calculator'!$X$19,V9,IF($K$2='Bioenergy Calculator'!$X$20,AD9,IF($K$2='Bioenergy Calculator'!$X$24,'Conversion Tables'!BN9,"NA"))))))</f>
        <v>NA</v>
      </c>
      <c r="N9" s="140" t="str">
        <f>IF($K$2='Bioenergy Calculator'!$X$21,AA9,IF($K$2='Bioenergy Calculator'!$X$22,BK9,IF($K$2='Bioenergy Calculator'!$X$23,BG9,IF($K$2='Bioenergy Calculator'!$X$19,W9,IF($K$2='Bioenergy Calculator'!$X$20,AE9,IF($K$2='Bioenergy Calculator'!$X$24,'Conversion Tables'!BO9,"NA"))))))</f>
        <v>NA</v>
      </c>
      <c r="O9" s="84"/>
      <c r="P9" s="68" t="s">
        <v>431</v>
      </c>
      <c r="Q9" s="51" t="s">
        <v>431</v>
      </c>
      <c r="R9" s="51" t="s">
        <v>431</v>
      </c>
      <c r="S9" s="65" t="s">
        <v>431</v>
      </c>
      <c r="T9" s="74">
        <f>'Technology Assumptions'!B18</f>
        <v>2.8</v>
      </c>
      <c r="U9" s="74">
        <f>'Technology Assumptions'!C18</f>
        <v>2.8</v>
      </c>
      <c r="V9" s="74">
        <f>'Technology Assumptions'!D18</f>
        <v>2.9</v>
      </c>
      <c r="W9" s="75">
        <f>'Technology Assumptions'!E18</f>
        <v>3</v>
      </c>
      <c r="X9" s="91" t="s">
        <v>431</v>
      </c>
      <c r="Y9" s="91" t="s">
        <v>431</v>
      </c>
      <c r="Z9" s="91" t="s">
        <v>431</v>
      </c>
      <c r="AA9" s="147" t="s">
        <v>431</v>
      </c>
      <c r="AB9" s="51" t="s">
        <v>431</v>
      </c>
      <c r="AC9" s="51" t="s">
        <v>431</v>
      </c>
      <c r="AD9" s="51" t="s">
        <v>431</v>
      </c>
      <c r="AE9" s="65" t="s">
        <v>431</v>
      </c>
      <c r="AF9" s="68" t="s">
        <v>431</v>
      </c>
      <c r="AG9" s="51" t="s">
        <v>431</v>
      </c>
      <c r="AH9" s="51" t="s">
        <v>431</v>
      </c>
      <c r="AI9" s="65" t="s">
        <v>431</v>
      </c>
      <c r="AJ9" s="51" t="s">
        <v>431</v>
      </c>
      <c r="AK9" s="51" t="s">
        <v>431</v>
      </c>
      <c r="AL9" s="51" t="s">
        <v>431</v>
      </c>
      <c r="AM9" s="65" t="s">
        <v>431</v>
      </c>
      <c r="AN9" s="51" t="s">
        <v>431</v>
      </c>
      <c r="AO9" s="51" t="s">
        <v>431</v>
      </c>
      <c r="AP9" s="51" t="s">
        <v>431</v>
      </c>
      <c r="AQ9" s="65" t="s">
        <v>431</v>
      </c>
      <c r="AR9" s="51" t="s">
        <v>431</v>
      </c>
      <c r="AS9" s="51" t="s">
        <v>431</v>
      </c>
      <c r="AT9" s="51" t="s">
        <v>431</v>
      </c>
      <c r="AU9" s="65" t="s">
        <v>431</v>
      </c>
      <c r="AV9" s="51" t="s">
        <v>431</v>
      </c>
      <c r="AW9" s="51" t="s">
        <v>431</v>
      </c>
      <c r="AX9" s="51" t="s">
        <v>431</v>
      </c>
      <c r="AY9" s="65" t="s">
        <v>431</v>
      </c>
      <c r="AZ9" s="51" t="s">
        <v>431</v>
      </c>
      <c r="BA9" s="51" t="s">
        <v>431</v>
      </c>
      <c r="BB9" s="51" t="s">
        <v>431</v>
      </c>
      <c r="BC9" s="65" t="s">
        <v>431</v>
      </c>
      <c r="BD9" s="51" t="s">
        <v>431</v>
      </c>
      <c r="BE9" s="51" t="s">
        <v>431</v>
      </c>
      <c r="BF9" s="51" t="s">
        <v>431</v>
      </c>
      <c r="BG9" s="65" t="s">
        <v>431</v>
      </c>
      <c r="BH9" s="52" t="s">
        <v>431</v>
      </c>
      <c r="BI9" s="52" t="s">
        <v>431</v>
      </c>
      <c r="BJ9" s="52" t="s">
        <v>431</v>
      </c>
      <c r="BK9" s="62" t="s">
        <v>431</v>
      </c>
      <c r="BL9" s="51" t="s">
        <v>431</v>
      </c>
      <c r="BM9" s="51" t="s">
        <v>431</v>
      </c>
      <c r="BN9" s="51" t="s">
        <v>431</v>
      </c>
      <c r="BO9" s="140" t="s">
        <v>431</v>
      </c>
      <c r="BZ9" s="51"/>
    </row>
    <row r="10" spans="1:82" x14ac:dyDescent="0.25">
      <c r="A10" s="1100"/>
      <c r="B10" s="11" t="s">
        <v>522</v>
      </c>
      <c r="C10" s="31" t="s">
        <v>431</v>
      </c>
      <c r="D10" s="31"/>
      <c r="E10" s="118"/>
      <c r="F10" s="172" t="str">
        <f>IF($F$2='Bioenergy Calculator'!$X$9,AF10,IF($F$2='Bioenergy Calculator'!$X$10,AJ10,IF($F$2='Bioenergy Calculator'!$X$11,AN10,IF($F$2='Bioenergy Calculator'!$X$12,P10,IF($F$2='Bioenergy Calculator'!$X$13,AR10,IF($F$2='Bioenergy Calculator'!$X$14,AV10,IF($F$2='Bioenergy Calculator'!$X$15,AZ10,"NA")))))))</f>
        <v>NA</v>
      </c>
      <c r="G10" s="51" t="str">
        <f>IF($F$2='Bioenergy Calculator'!$X$9,AG10,IF($F$2='Bioenergy Calculator'!$X$10,AK10,IF($F$2='Bioenergy Calculator'!$X$11,AO10,IF($F$2='Bioenergy Calculator'!$X$12,Q10,IF($F$2='Bioenergy Calculator'!$X$13,AS10,IF($F$2='Bioenergy Calculator'!$X$14,AW10,IF($F$2='Bioenergy Calculator'!$X$15,BA10,"NA")))))))</f>
        <v>NA</v>
      </c>
      <c r="H10" s="51" t="str">
        <f>IF($F$2='Bioenergy Calculator'!$X$9,AH10,IF($F$2='Bioenergy Calculator'!$X$10,AL10,IF($F$2='Bioenergy Calculator'!$X$11,AP10,IF($F$2='Bioenergy Calculator'!$X$12,R10,IF($F$2='Bioenergy Calculator'!$X$13,AT10,IF($F$2='Bioenergy Calculator'!$X$14,AX10,IF($F$2='Bioenergy Calculator'!$X$15,BB10,"NA")))))))</f>
        <v>NA</v>
      </c>
      <c r="I10" s="140" t="str">
        <f>IF($F$2='Bioenergy Calculator'!$X$9,AI10,IF($F$2='Bioenergy Calculator'!$X$10,AM10,IF($F$2='Bioenergy Calculator'!$X$11,AQ10,IF($F$2='Bioenergy Calculator'!$X$12,S10,IF($F$2='Bioenergy Calculator'!$X$13,AU10,IF($F$2='Bioenergy Calculator'!$X$14,AY10,IF($F$2='Bioenergy Calculator'!$X$15,BC10,"NA")))))))</f>
        <v>NA</v>
      </c>
      <c r="J10" s="84"/>
      <c r="K10" s="172" t="str">
        <f>IF($K$2='Bioenergy Calculator'!$X$21,X10,IF($K$2='Bioenergy Calculator'!$X$22,BH10,IF($K$2='Bioenergy Calculator'!$X$23,BD10,IF($K$2='Bioenergy Calculator'!$X$19,T10,IF($K$2='Bioenergy Calculator'!$X$20,AB10,IF($K$2='Bioenergy Calculator'!$X$24,'Conversion Tables'!BL10,"NA"))))))</f>
        <v>NA</v>
      </c>
      <c r="L10" s="51" t="str">
        <f>IF($K$2='Bioenergy Calculator'!$X$21,Y10,IF($K$2='Bioenergy Calculator'!$X$22,BI10,IF($K$2='Bioenergy Calculator'!$X$23,BE10,IF($K$2='Bioenergy Calculator'!$X$19,U10,IF($K$2='Bioenergy Calculator'!$X$20,AC10,IF($K$2='Bioenergy Calculator'!$X$24,'Conversion Tables'!BM10,"NA"))))))</f>
        <v>NA</v>
      </c>
      <c r="M10" s="51" t="str">
        <f>IF($K$2='Bioenergy Calculator'!$X$21,Z10,IF($K$2='Bioenergy Calculator'!$X$22,BJ10,IF($K$2='Bioenergy Calculator'!$X$23,BF10,IF($K$2='Bioenergy Calculator'!$X$19,V10,IF($K$2='Bioenergy Calculator'!$X$20,AD10,IF($K$2='Bioenergy Calculator'!$X$24,'Conversion Tables'!BN10,"NA"))))))</f>
        <v>NA</v>
      </c>
      <c r="N10" s="140" t="str">
        <f>IF($K$2='Bioenergy Calculator'!$X$21,AA10,IF($K$2='Bioenergy Calculator'!$X$22,BK10,IF($K$2='Bioenergy Calculator'!$X$23,BG10,IF($K$2='Bioenergy Calculator'!$X$19,W10,IF($K$2='Bioenergy Calculator'!$X$20,AE10,IF($K$2='Bioenergy Calculator'!$X$24,'Conversion Tables'!BO10,"NA"))))))</f>
        <v>NA</v>
      </c>
      <c r="O10" s="84"/>
      <c r="P10" s="68" t="s">
        <v>431</v>
      </c>
      <c r="Q10" s="51" t="s">
        <v>431</v>
      </c>
      <c r="R10" s="51" t="s">
        <v>431</v>
      </c>
      <c r="S10" s="65" t="s">
        <v>431</v>
      </c>
      <c r="T10" s="74">
        <f>'Technology Assumptions'!B19</f>
        <v>2.7</v>
      </c>
      <c r="U10" s="74">
        <f>'Technology Assumptions'!C19</f>
        <v>2.7</v>
      </c>
      <c r="V10" s="74">
        <f>'Technology Assumptions'!D19</f>
        <v>2.7</v>
      </c>
      <c r="W10" s="75">
        <f>'Technology Assumptions'!E19</f>
        <v>2.7</v>
      </c>
      <c r="X10" s="91" t="s">
        <v>431</v>
      </c>
      <c r="Y10" s="91" t="s">
        <v>431</v>
      </c>
      <c r="Z10" s="91" t="s">
        <v>431</v>
      </c>
      <c r="AA10" s="147" t="s">
        <v>431</v>
      </c>
      <c r="AB10" s="51" t="s">
        <v>431</v>
      </c>
      <c r="AC10" s="51" t="s">
        <v>431</v>
      </c>
      <c r="AD10" s="51" t="s">
        <v>431</v>
      </c>
      <c r="AE10" s="65" t="s">
        <v>431</v>
      </c>
      <c r="AF10" s="68" t="s">
        <v>431</v>
      </c>
      <c r="AG10" s="51" t="s">
        <v>431</v>
      </c>
      <c r="AH10" s="51" t="s">
        <v>431</v>
      </c>
      <c r="AI10" s="65" t="s">
        <v>431</v>
      </c>
      <c r="AJ10" s="51" t="s">
        <v>431</v>
      </c>
      <c r="AK10" s="51" t="s">
        <v>431</v>
      </c>
      <c r="AL10" s="51" t="s">
        <v>431</v>
      </c>
      <c r="AM10" s="65" t="s">
        <v>431</v>
      </c>
      <c r="AN10" s="51" t="s">
        <v>431</v>
      </c>
      <c r="AO10" s="51" t="s">
        <v>431</v>
      </c>
      <c r="AP10" s="51" t="s">
        <v>431</v>
      </c>
      <c r="AQ10" s="65" t="s">
        <v>431</v>
      </c>
      <c r="AR10" s="51" t="s">
        <v>431</v>
      </c>
      <c r="AS10" s="51" t="s">
        <v>431</v>
      </c>
      <c r="AT10" s="51" t="s">
        <v>431</v>
      </c>
      <c r="AU10" s="65" t="s">
        <v>431</v>
      </c>
      <c r="AV10" s="51" t="s">
        <v>431</v>
      </c>
      <c r="AW10" s="51" t="s">
        <v>431</v>
      </c>
      <c r="AX10" s="51" t="s">
        <v>431</v>
      </c>
      <c r="AY10" s="65" t="s">
        <v>431</v>
      </c>
      <c r="AZ10" s="51" t="s">
        <v>431</v>
      </c>
      <c r="BA10" s="51" t="s">
        <v>431</v>
      </c>
      <c r="BB10" s="51" t="s">
        <v>431</v>
      </c>
      <c r="BC10" s="65" t="s">
        <v>431</v>
      </c>
      <c r="BD10" s="51" t="s">
        <v>431</v>
      </c>
      <c r="BE10" s="51" t="s">
        <v>431</v>
      </c>
      <c r="BF10" s="51" t="s">
        <v>431</v>
      </c>
      <c r="BG10" s="65" t="s">
        <v>431</v>
      </c>
      <c r="BH10" s="52" t="s">
        <v>431</v>
      </c>
      <c r="BI10" s="52" t="s">
        <v>431</v>
      </c>
      <c r="BJ10" s="52" t="s">
        <v>431</v>
      </c>
      <c r="BK10" s="62" t="s">
        <v>431</v>
      </c>
      <c r="BL10" s="51" t="s">
        <v>431</v>
      </c>
      <c r="BM10" s="51" t="s">
        <v>431</v>
      </c>
      <c r="BN10" s="51" t="s">
        <v>431</v>
      </c>
      <c r="BO10" s="140" t="s">
        <v>431</v>
      </c>
      <c r="BZ10" s="51"/>
    </row>
    <row r="11" spans="1:82" x14ac:dyDescent="0.25">
      <c r="A11" s="1101"/>
      <c r="B11" s="129" t="s">
        <v>301</v>
      </c>
      <c r="C11" s="31" t="s">
        <v>431</v>
      </c>
      <c r="D11" s="31"/>
      <c r="E11" s="118"/>
      <c r="F11" s="172" t="str">
        <f>IF($F$2='Bioenergy Calculator'!$X$9,AF11,IF($F$2='Bioenergy Calculator'!$X$10,AJ11,IF($F$2='Bioenergy Calculator'!$X$11,AN11,IF($F$2='Bioenergy Calculator'!$X$12,P11,IF($F$2='Bioenergy Calculator'!$X$13,AR11,IF($F$2='Bioenergy Calculator'!$X$14,AV11,IF($F$2='Bioenergy Calculator'!$X$15,AZ11,"NA")))))))</f>
        <v>NA</v>
      </c>
      <c r="G11" s="51" t="str">
        <f>IF($F$2='Bioenergy Calculator'!$X$9,AG11,IF($F$2='Bioenergy Calculator'!$X$10,AK11,IF($F$2='Bioenergy Calculator'!$X$11,AO11,IF($F$2='Bioenergy Calculator'!$X$12,Q11,IF($F$2='Bioenergy Calculator'!$X$13,AS11,IF($F$2='Bioenergy Calculator'!$X$14,AW11,IF($F$2='Bioenergy Calculator'!$X$15,BA11,"NA")))))))</f>
        <v>NA</v>
      </c>
      <c r="H11" s="51" t="str">
        <f>IF($F$2='Bioenergy Calculator'!$X$9,AH11,IF($F$2='Bioenergy Calculator'!$X$10,AL11,IF($F$2='Bioenergy Calculator'!$X$11,AP11,IF($F$2='Bioenergy Calculator'!$X$12,R11,IF($F$2='Bioenergy Calculator'!$X$13,AT11,IF($F$2='Bioenergy Calculator'!$X$14,AX11,IF($F$2='Bioenergy Calculator'!$X$15,BB11,"NA")))))))</f>
        <v>NA</v>
      </c>
      <c r="I11" s="140" t="str">
        <f>IF($F$2='Bioenergy Calculator'!$X$9,AI11,IF($F$2='Bioenergy Calculator'!$X$10,AM11,IF($F$2='Bioenergy Calculator'!$X$11,AQ11,IF($F$2='Bioenergy Calculator'!$X$12,S11,IF($F$2='Bioenergy Calculator'!$X$13,AU11,IF($F$2='Bioenergy Calculator'!$X$14,AY11,IF($F$2='Bioenergy Calculator'!$X$15,BC11,"NA")))))))</f>
        <v>NA</v>
      </c>
      <c r="J11" s="84"/>
      <c r="K11" s="172" t="str">
        <f>IF($K$2='Bioenergy Calculator'!$X$21,X11,IF($K$2='Bioenergy Calculator'!$X$22,BH11,IF($K$2='Bioenergy Calculator'!$X$23,BD11,IF($K$2='Bioenergy Calculator'!$X$19,T11,IF($K$2='Bioenergy Calculator'!$X$20,AB11,IF($K$2='Bioenergy Calculator'!$X$24,'Conversion Tables'!BL11,"NA"))))))</f>
        <v>NA</v>
      </c>
      <c r="L11" s="51" t="str">
        <f>IF($K$2='Bioenergy Calculator'!$X$21,Y11,IF($K$2='Bioenergy Calculator'!$X$22,BI11,IF($K$2='Bioenergy Calculator'!$X$23,BE11,IF($K$2='Bioenergy Calculator'!$X$19,U11,IF($K$2='Bioenergy Calculator'!$X$20,AC11,IF($K$2='Bioenergy Calculator'!$X$24,'Conversion Tables'!BM11,"NA"))))))</f>
        <v>NA</v>
      </c>
      <c r="M11" s="51" t="str">
        <f>IF($K$2='Bioenergy Calculator'!$X$21,Z11,IF($K$2='Bioenergy Calculator'!$X$22,BJ11,IF($K$2='Bioenergy Calculator'!$X$23,BF11,IF($K$2='Bioenergy Calculator'!$X$19,V11,IF($K$2='Bioenergy Calculator'!$X$20,AD11,IF($K$2='Bioenergy Calculator'!$X$24,'Conversion Tables'!BN11,"NA"))))))</f>
        <v>NA</v>
      </c>
      <c r="N11" s="140" t="str">
        <f>IF($K$2='Bioenergy Calculator'!$X$21,AA11,IF($K$2='Bioenergy Calculator'!$X$22,BK11,IF($K$2='Bioenergy Calculator'!$X$23,BG11,IF($K$2='Bioenergy Calculator'!$X$19,W11,IF($K$2='Bioenergy Calculator'!$X$20,AE11,IF($K$2='Bioenergy Calculator'!$X$24,'Conversion Tables'!BO11,"NA"))))))</f>
        <v>NA</v>
      </c>
      <c r="O11" s="84"/>
      <c r="P11" s="68" t="s">
        <v>431</v>
      </c>
      <c r="Q11" s="51" t="s">
        <v>431</v>
      </c>
      <c r="R11" s="51" t="s">
        <v>431</v>
      </c>
      <c r="S11" s="65" t="s">
        <v>431</v>
      </c>
      <c r="T11" s="51" t="s">
        <v>431</v>
      </c>
      <c r="U11" s="51" t="s">
        <v>431</v>
      </c>
      <c r="V11" s="51" t="s">
        <v>431</v>
      </c>
      <c r="W11" s="65" t="s">
        <v>431</v>
      </c>
      <c r="X11" s="91" t="s">
        <v>431</v>
      </c>
      <c r="Y11" s="91" t="s">
        <v>431</v>
      </c>
      <c r="Z11" s="91" t="s">
        <v>431</v>
      </c>
      <c r="AA11" s="147" t="s">
        <v>431</v>
      </c>
      <c r="AB11" s="51" t="s">
        <v>431</v>
      </c>
      <c r="AC11" s="51" t="s">
        <v>431</v>
      </c>
      <c r="AD11" s="51" t="s">
        <v>431</v>
      </c>
      <c r="AE11" s="65" t="s">
        <v>431</v>
      </c>
      <c r="AF11" s="68" t="s">
        <v>431</v>
      </c>
      <c r="AG11" s="51" t="s">
        <v>431</v>
      </c>
      <c r="AH11" s="51" t="s">
        <v>431</v>
      </c>
      <c r="AI11" s="65" t="s">
        <v>431</v>
      </c>
      <c r="AJ11" s="51" t="s">
        <v>431</v>
      </c>
      <c r="AK11" s="51" t="s">
        <v>431</v>
      </c>
      <c r="AL11" s="51" t="s">
        <v>431</v>
      </c>
      <c r="AM11" s="65" t="s">
        <v>431</v>
      </c>
      <c r="AN11" s="51" t="s">
        <v>431</v>
      </c>
      <c r="AO11" s="51" t="s">
        <v>431</v>
      </c>
      <c r="AP11" s="51" t="s">
        <v>431</v>
      </c>
      <c r="AQ11" s="65" t="s">
        <v>431</v>
      </c>
      <c r="AR11" s="51" t="s">
        <v>431</v>
      </c>
      <c r="AS11" s="51" t="s">
        <v>431</v>
      </c>
      <c r="AT11" s="51" t="s">
        <v>431</v>
      </c>
      <c r="AU11" s="65" t="s">
        <v>431</v>
      </c>
      <c r="AV11" s="51" t="s">
        <v>431</v>
      </c>
      <c r="AW11" s="51" t="s">
        <v>431</v>
      </c>
      <c r="AX11" s="51" t="s">
        <v>431</v>
      </c>
      <c r="AY11" s="65" t="s">
        <v>431</v>
      </c>
      <c r="AZ11" s="51" t="s">
        <v>431</v>
      </c>
      <c r="BA11" s="51" t="s">
        <v>431</v>
      </c>
      <c r="BB11" s="51" t="s">
        <v>431</v>
      </c>
      <c r="BC11" s="65" t="s">
        <v>431</v>
      </c>
      <c r="BD11" s="51" t="s">
        <v>431</v>
      </c>
      <c r="BE11" s="51" t="s">
        <v>431</v>
      </c>
      <c r="BF11" s="51" t="s">
        <v>431</v>
      </c>
      <c r="BG11" s="65" t="s">
        <v>431</v>
      </c>
      <c r="BH11" s="52" t="s">
        <v>431</v>
      </c>
      <c r="BI11" s="52" t="s">
        <v>431</v>
      </c>
      <c r="BJ11" s="52" t="s">
        <v>431</v>
      </c>
      <c r="BK11" s="62" t="s">
        <v>431</v>
      </c>
      <c r="BL11" s="51" t="s">
        <v>431</v>
      </c>
      <c r="BM11" s="51" t="s">
        <v>431</v>
      </c>
      <c r="BN11" s="51" t="s">
        <v>431</v>
      </c>
      <c r="BO11" s="140" t="s">
        <v>431</v>
      </c>
      <c r="BZ11" s="51"/>
    </row>
    <row r="12" spans="1:82" x14ac:dyDescent="0.25">
      <c r="A12" s="1092" t="s">
        <v>514</v>
      </c>
      <c r="B12" s="1" t="s">
        <v>507</v>
      </c>
      <c r="C12" s="32">
        <f>'Energy Content Assumptions'!B9*2000/1000000</f>
        <v>0</v>
      </c>
      <c r="D12" s="51"/>
      <c r="E12" s="84"/>
      <c r="F12" s="333" t="str">
        <f>IF($F$2='Bioenergy Calculator'!$X$9,AF12,IF($F$2='Bioenergy Calculator'!$X$10,AJ12,IF($F$2='Bioenergy Calculator'!$X$11,AN12,IF($F$2='Bioenergy Calculator'!$X$12,P12,IF($F$2='Bioenergy Calculator'!$X$13,AR12,IF($F$2='Bioenergy Calculator'!$X$14,AV12,IF($F$2='Bioenergy Calculator'!$X$15,AZ12,"NA")))))))</f>
        <v>NA</v>
      </c>
      <c r="G12" s="66" t="str">
        <f>IF($F$2='Bioenergy Calculator'!$X$9,AG12,IF($F$2='Bioenergy Calculator'!$X$10,AK12,IF($F$2='Bioenergy Calculator'!$X$11,AO12,IF($F$2='Bioenergy Calculator'!$X$12,Q12,IF($F$2='Bioenergy Calculator'!$X$13,AS12,IF($F$2='Bioenergy Calculator'!$X$14,AW12,IF($F$2='Bioenergy Calculator'!$X$15,BA12,"NA")))))))</f>
        <v>NA</v>
      </c>
      <c r="H12" s="66" t="str">
        <f>IF($F$2='Bioenergy Calculator'!$X$9,AH12,IF($F$2='Bioenergy Calculator'!$X$10,AL12,IF($F$2='Bioenergy Calculator'!$X$11,AP12,IF($F$2='Bioenergy Calculator'!$X$12,R12,IF($F$2='Bioenergy Calculator'!$X$13,AT12,IF($F$2='Bioenergy Calculator'!$X$14,AX12,IF($F$2='Bioenergy Calculator'!$X$15,BB12,"NA")))))))</f>
        <v>NA</v>
      </c>
      <c r="I12" s="334" t="str">
        <f>IF($F$2='Bioenergy Calculator'!$X$9,AI12,IF($F$2='Bioenergy Calculator'!$X$10,AM12,IF($F$2='Bioenergy Calculator'!$X$11,AQ12,IF($F$2='Bioenergy Calculator'!$X$12,S12,IF($F$2='Bioenergy Calculator'!$X$13,AU12,IF($F$2='Bioenergy Calculator'!$X$14,AY12,IF($F$2='Bioenergy Calculator'!$X$15,BC12,"NA")))))))</f>
        <v>NA</v>
      </c>
      <c r="J12" s="117"/>
      <c r="K12" s="333" t="str">
        <f>IF($K$2='Bioenergy Calculator'!$X$21,X12,IF($K$2='Bioenergy Calculator'!$X$22,BH12,IF($K$2='Bioenergy Calculator'!$X$23,BD12,IF($K$2='Bioenergy Calculator'!$X$19,T12,IF($K$2='Bioenergy Calculator'!$X$20,AB12,IF($K$2='Bioenergy Calculator'!$X$24,'Conversion Tables'!BL12,"NA"))))))</f>
        <v>NA</v>
      </c>
      <c r="L12" s="66" t="str">
        <f>IF($K$2='Bioenergy Calculator'!$X$21,Y12,IF($K$2='Bioenergy Calculator'!$X$22,BI12,IF($K$2='Bioenergy Calculator'!$X$23,BE12,IF($K$2='Bioenergy Calculator'!$X$19,U12,IF($K$2='Bioenergy Calculator'!$X$20,AC12,IF($K$2='Bioenergy Calculator'!$X$24,'Conversion Tables'!BM12,"NA"))))))</f>
        <v>NA</v>
      </c>
      <c r="M12" s="66" t="str">
        <f>IF($K$2='Bioenergy Calculator'!$X$21,Z12,IF($K$2='Bioenergy Calculator'!$X$22,BJ12,IF($K$2='Bioenergy Calculator'!$X$23,BF12,IF($K$2='Bioenergy Calculator'!$X$19,V12,IF($K$2='Bioenergy Calculator'!$X$20,AD12,IF($K$2='Bioenergy Calculator'!$X$24,'Conversion Tables'!BN12,"NA"))))))</f>
        <v>NA</v>
      </c>
      <c r="N12" s="334" t="str">
        <f>IF($K$2='Bioenergy Calculator'!$X$21,AA12,IF($K$2='Bioenergy Calculator'!$X$22,BK12,IF($K$2='Bioenergy Calculator'!$X$23,BG12,IF($K$2='Bioenergy Calculator'!$X$19,W12,IF($K$2='Bioenergy Calculator'!$X$20,AE12,IF($K$2='Bioenergy Calculator'!$X$24,'Conversion Tables'!BO12,"NA"))))))</f>
        <v>NA</v>
      </c>
      <c r="O12" s="84"/>
      <c r="P12" s="68" t="s">
        <v>431</v>
      </c>
      <c r="Q12" s="51" t="s">
        <v>431</v>
      </c>
      <c r="R12" s="51" t="s">
        <v>431</v>
      </c>
      <c r="S12" s="65" t="s">
        <v>431</v>
      </c>
      <c r="T12" s="51" t="s">
        <v>431</v>
      </c>
      <c r="U12" s="51" t="s">
        <v>431</v>
      </c>
      <c r="V12" s="51" t="s">
        <v>431</v>
      </c>
      <c r="W12" s="65" t="s">
        <v>431</v>
      </c>
      <c r="X12" s="252">
        <f>'Fuel Yields Eth. and DA Hydrol.'!I14</f>
        <v>58.347480916030534</v>
      </c>
      <c r="Y12" s="252">
        <f>'Fuel Yields Eth. and DA Hydrol.'!J14</f>
        <v>70</v>
      </c>
      <c r="Z12" s="252">
        <f>'Fuel Yields Eth. and DA Hydrol.'!K14</f>
        <v>80</v>
      </c>
      <c r="AA12" s="255">
        <f>'Fuel Yields Eth. and DA Hydrol.'!L14</f>
        <v>90</v>
      </c>
      <c r="AB12" s="51" t="s">
        <v>431</v>
      </c>
      <c r="AC12" s="51" t="s">
        <v>431</v>
      </c>
      <c r="AD12" s="51" t="s">
        <v>431</v>
      </c>
      <c r="AE12" s="65" t="s">
        <v>431</v>
      </c>
      <c r="AF12" s="668">
        <f>('Energy Content Assumptions'!$B$69/'Technology Assumptions'!B$4)/1000</f>
        <v>13.648</v>
      </c>
      <c r="AG12" s="66">
        <f>('Energy Content Assumptions'!$B$69/'Technology Assumptions'!C$4)/1000</f>
        <v>13.648</v>
      </c>
      <c r="AH12" s="66">
        <f>('Energy Content Assumptions'!$B$69/'Technology Assumptions'!D$4)/1000</f>
        <v>13.648</v>
      </c>
      <c r="AI12" s="69">
        <f>('Energy Content Assumptions'!$B$69/'Technology Assumptions'!E$4)/1000</f>
        <v>13.648</v>
      </c>
      <c r="AJ12" s="66" t="s">
        <v>431</v>
      </c>
      <c r="AK12" s="66" t="s">
        <v>431</v>
      </c>
      <c r="AL12" s="66" t="s">
        <v>431</v>
      </c>
      <c r="AM12" s="69" t="s">
        <v>431</v>
      </c>
      <c r="AN12" s="66">
        <f>('Energy Content Assumptions'!$B$69/'Technology Assumptions'!B$7)/1000</f>
        <v>8.7487179487179496</v>
      </c>
      <c r="AO12" s="66">
        <f>('Energy Content Assumptions'!$B$69/'Technology Assumptions'!C$7)/1000</f>
        <v>8.7487179487179496</v>
      </c>
      <c r="AP12" s="66">
        <f>('Energy Content Assumptions'!$B$69/'Technology Assumptions'!D$7)/1000</f>
        <v>8.7487179487179496</v>
      </c>
      <c r="AQ12" s="69">
        <f>('Energy Content Assumptions'!$B$69/'Technology Assumptions'!E$7)/1000</f>
        <v>8.7487179487179496</v>
      </c>
      <c r="AR12" s="66">
        <f>('Energy Content Assumptions'!$B$69/'Technology Assumptions'!B$6)/1000</f>
        <v>9.7485714285714291</v>
      </c>
      <c r="AS12" s="66">
        <f>(3412/'Technology Assumptions'!C$6)/1000</f>
        <v>9.7485714285714291</v>
      </c>
      <c r="AT12" s="66">
        <f>(3412/'Technology Assumptions'!D$6)/1000</f>
        <v>9.7485714285714291</v>
      </c>
      <c r="AU12" s="69">
        <f>(3412/'Technology Assumptions'!E$6)/1000</f>
        <v>9.7485714285714291</v>
      </c>
      <c r="AV12" s="51" t="s">
        <v>431</v>
      </c>
      <c r="AW12" s="51" t="s">
        <v>431</v>
      </c>
      <c r="AX12" s="51" t="s">
        <v>431</v>
      </c>
      <c r="AY12" s="65" t="s">
        <v>431</v>
      </c>
      <c r="AZ12" s="88">
        <f>('Energy Content Assumptions'!$B$69/'Technology Assumptions'!B$11)/1000</f>
        <v>18.052910052910054</v>
      </c>
      <c r="BA12" s="88">
        <f>('Energy Content Assumptions'!$B$69/'Technology Assumptions'!C$11)/1000</f>
        <v>18.052910052910054</v>
      </c>
      <c r="BB12" s="88">
        <f>('Energy Content Assumptions'!$B$69/'Technology Assumptions'!D$11)/1000</f>
        <v>18.052910052910054</v>
      </c>
      <c r="BC12" s="89">
        <f>('Energy Content Assumptions'!$B$69/'Technology Assumptions'!E$11)/1000</f>
        <v>18.052910052910054</v>
      </c>
      <c r="BD12" s="316">
        <f>'Technology Assumptions'!B$27</f>
        <v>45.6</v>
      </c>
      <c r="BE12" s="316">
        <f>'Technology Assumptions'!C$27</f>
        <v>45.6</v>
      </c>
      <c r="BF12" s="316">
        <f>'Technology Assumptions'!D$27</f>
        <v>45.6</v>
      </c>
      <c r="BG12" s="326">
        <f>'Technology Assumptions'!E$27</f>
        <v>45.6</v>
      </c>
      <c r="BH12" s="252">
        <f>'Fuel Yields Eth. and DA Hydrol.'!$F$14</f>
        <v>69.612776688147932</v>
      </c>
      <c r="BI12" s="252">
        <f>'Fuel Yields Eth. and DA Hydrol.'!$F$14</f>
        <v>69.612776688147932</v>
      </c>
      <c r="BJ12" s="252">
        <f>'Fuel Yields Eth. and DA Hydrol.'!$F$14</f>
        <v>69.612776688147932</v>
      </c>
      <c r="BK12" s="255">
        <f>'Fuel Yields Eth. and DA Hydrol.'!$F$14</f>
        <v>69.612776688147932</v>
      </c>
      <c r="BL12" s="51" t="s">
        <v>431</v>
      </c>
      <c r="BM12" s="51" t="s">
        <v>431</v>
      </c>
      <c r="BN12" s="51" t="s">
        <v>431</v>
      </c>
      <c r="BO12" s="140" t="s">
        <v>431</v>
      </c>
    </row>
    <row r="13" spans="1:82" x14ac:dyDescent="0.25">
      <c r="A13" s="1093"/>
      <c r="B13" s="1" t="s">
        <v>504</v>
      </c>
      <c r="C13" s="51"/>
      <c r="D13" s="51"/>
      <c r="E13" s="84"/>
      <c r="F13" s="333"/>
      <c r="G13" s="66"/>
      <c r="H13" s="66"/>
      <c r="I13" s="334"/>
      <c r="J13" s="117"/>
      <c r="K13" s="333"/>
      <c r="L13" s="66"/>
      <c r="M13" s="66"/>
      <c r="N13" s="334"/>
      <c r="O13" s="84"/>
      <c r="P13" s="68"/>
      <c r="Q13" s="51"/>
      <c r="R13" s="51"/>
      <c r="S13" s="65"/>
      <c r="T13" s="51"/>
      <c r="U13" s="51"/>
      <c r="V13" s="51"/>
      <c r="W13" s="65"/>
      <c r="X13" s="253"/>
      <c r="Y13" s="253"/>
      <c r="Z13" s="253"/>
      <c r="AA13" s="256"/>
      <c r="AB13" s="51"/>
      <c r="AC13" s="51"/>
      <c r="AD13" s="51"/>
      <c r="AE13" s="65"/>
      <c r="AF13" s="68"/>
      <c r="AG13" s="51"/>
      <c r="AH13" s="51"/>
      <c r="AI13" s="65"/>
      <c r="AJ13" s="51"/>
      <c r="AK13" s="51"/>
      <c r="AL13" s="51"/>
      <c r="AM13" s="65"/>
      <c r="AN13" s="66"/>
      <c r="AO13" s="66"/>
      <c r="AP13" s="66"/>
      <c r="AQ13" s="69"/>
      <c r="AR13" s="51"/>
      <c r="AS13" s="51"/>
      <c r="AT13" s="51"/>
      <c r="AU13" s="65"/>
      <c r="AV13" s="74"/>
      <c r="AW13" s="74"/>
      <c r="AX13" s="74"/>
      <c r="AY13" s="75"/>
      <c r="AZ13" s="51"/>
      <c r="BA13" s="51"/>
      <c r="BB13" s="51"/>
      <c r="BC13" s="65"/>
      <c r="BD13" s="474"/>
      <c r="BE13" s="474"/>
      <c r="BF13" s="474"/>
      <c r="BG13" s="679"/>
      <c r="BH13" s="252"/>
      <c r="BI13" s="252"/>
      <c r="BJ13" s="252"/>
      <c r="BK13" s="255"/>
      <c r="BL13" s="51"/>
      <c r="BM13" s="51"/>
      <c r="BN13" s="51"/>
      <c r="BO13" s="140"/>
    </row>
    <row r="14" spans="1:82" ht="12.75" customHeight="1" x14ac:dyDescent="0.25">
      <c r="A14" s="1093"/>
      <c r="B14" s="11" t="s">
        <v>527</v>
      </c>
      <c r="C14" s="32">
        <f>'Energy Content Assumptions'!B11*2000/1000000</f>
        <v>15.731999999999999</v>
      </c>
      <c r="D14" s="32" t="s">
        <v>261</v>
      </c>
      <c r="E14" s="119"/>
      <c r="F14" s="333" t="str">
        <f>IF($F$2='Bioenergy Calculator'!$X$9,AF14,IF($F$2='Bioenergy Calculator'!$X$10,AJ14,IF($F$2='Bioenergy Calculator'!$X$11,AN14,IF($F$2='Bioenergy Calculator'!$X$12,P14,IF($F$2='Bioenergy Calculator'!$X$13,AR14,IF($F$2='Bioenergy Calculator'!$X$14,AV14,IF($F$2='Bioenergy Calculator'!$X$15,AZ14,"NA")))))))</f>
        <v>NA</v>
      </c>
      <c r="G14" s="66" t="str">
        <f>IF($F$2='Bioenergy Calculator'!$X$9,AG14,IF($F$2='Bioenergy Calculator'!$X$10,AK14,IF($F$2='Bioenergy Calculator'!$X$11,AO14,IF($F$2='Bioenergy Calculator'!$X$12,Q14,IF($F$2='Bioenergy Calculator'!$X$13,AS14,IF($F$2='Bioenergy Calculator'!$X$14,AW14,IF($F$2='Bioenergy Calculator'!$X$15,BA14,"NA")))))))</f>
        <v>NA</v>
      </c>
      <c r="H14" s="66" t="str">
        <f>IF($F$2='Bioenergy Calculator'!$X$9,AH14,IF($F$2='Bioenergy Calculator'!$X$10,AL14,IF($F$2='Bioenergy Calculator'!$X$11,AP14,IF($F$2='Bioenergy Calculator'!$X$12,R14,IF($F$2='Bioenergy Calculator'!$X$13,AT14,IF($F$2='Bioenergy Calculator'!$X$14,AX14,IF($F$2='Bioenergy Calculator'!$X$15,BB14,"NA")))))))</f>
        <v>NA</v>
      </c>
      <c r="I14" s="334" t="str">
        <f>IF($F$2='Bioenergy Calculator'!$X$9,AI14,IF($F$2='Bioenergy Calculator'!$X$10,AM14,IF($F$2='Bioenergy Calculator'!$X$11,AQ14,IF($F$2='Bioenergy Calculator'!$X$12,S14,IF($F$2='Bioenergy Calculator'!$X$13,AU14,IF($F$2='Bioenergy Calculator'!$X$14,AY14,IF($F$2='Bioenergy Calculator'!$X$15,BC14,"NA")))))))</f>
        <v>NA</v>
      </c>
      <c r="J14" s="117"/>
      <c r="K14" s="333" t="str">
        <f>IF($K$2='Bioenergy Calculator'!$X$21,X14,IF($K$2='Bioenergy Calculator'!$X$22,BH14,IF($K$2='Bioenergy Calculator'!$X$23,BD14,IF($K$2='Bioenergy Calculator'!$X$19,T14,IF($K$2='Bioenergy Calculator'!$X$20,AB14,IF($K$2='Bioenergy Calculator'!$X$24,'Conversion Tables'!BL14,"NA"))))))</f>
        <v>NA</v>
      </c>
      <c r="L14" s="66" t="str">
        <f>IF($K$2='Bioenergy Calculator'!$X$21,Y14,IF($K$2='Bioenergy Calculator'!$X$22,BI14,IF($K$2='Bioenergy Calculator'!$X$23,BE14,IF($K$2='Bioenergy Calculator'!$X$19,U14,IF($K$2='Bioenergy Calculator'!$X$20,AC14,IF($K$2='Bioenergy Calculator'!$X$24,'Conversion Tables'!BM14,"NA"))))))</f>
        <v>NA</v>
      </c>
      <c r="M14" s="66" t="str">
        <f>IF($K$2='Bioenergy Calculator'!$X$21,Z14,IF($K$2='Bioenergy Calculator'!$X$22,BJ14,IF($K$2='Bioenergy Calculator'!$X$23,BF14,IF($K$2='Bioenergy Calculator'!$X$19,V14,IF($K$2='Bioenergy Calculator'!$X$20,AD14,IF($K$2='Bioenergy Calculator'!$X$24,'Conversion Tables'!BN14,"NA"))))))</f>
        <v>NA</v>
      </c>
      <c r="N14" s="334" t="str">
        <f>IF($K$2='Bioenergy Calculator'!$X$21,AA14,IF($K$2='Bioenergy Calculator'!$X$22,BK14,IF($K$2='Bioenergy Calculator'!$X$23,BG14,IF($K$2='Bioenergy Calculator'!$X$19,W14,IF($K$2='Bioenergy Calculator'!$X$20,AE14,IF($K$2='Bioenergy Calculator'!$X$24,'Conversion Tables'!BO14,"NA"))))))</f>
        <v>NA</v>
      </c>
      <c r="O14" s="84"/>
      <c r="P14" s="68" t="s">
        <v>431</v>
      </c>
      <c r="Q14" s="51" t="s">
        <v>431</v>
      </c>
      <c r="R14" s="51" t="s">
        <v>431</v>
      </c>
      <c r="S14" s="65" t="s">
        <v>431</v>
      </c>
      <c r="T14" s="51" t="s">
        <v>431</v>
      </c>
      <c r="U14" s="51" t="s">
        <v>431</v>
      </c>
      <c r="V14" s="51" t="s">
        <v>431</v>
      </c>
      <c r="W14" s="65" t="s">
        <v>431</v>
      </c>
      <c r="X14" s="252">
        <f>'Fuel Yields Eth. and DA Hydrol.'!I15</f>
        <v>69.44274809160305</v>
      </c>
      <c r="Y14" s="252">
        <f>'Fuel Yields Eth. and DA Hydrol.'!J15</f>
        <v>83.311092271623536</v>
      </c>
      <c r="Z14" s="252">
        <f>'Fuel Yields Eth. and DA Hydrol.'!K15</f>
        <v>95.212676881855472</v>
      </c>
      <c r="AA14" s="255">
        <f>'Fuel Yields Eth. and DA Hydrol.'!L15</f>
        <v>107.11426149208741</v>
      </c>
      <c r="AB14" s="51" t="s">
        <v>431</v>
      </c>
      <c r="AC14" s="51" t="s">
        <v>431</v>
      </c>
      <c r="AD14" s="51" t="s">
        <v>431</v>
      </c>
      <c r="AE14" s="65" t="s">
        <v>431</v>
      </c>
      <c r="AF14" s="668">
        <f>('Energy Content Assumptions'!$B$69/'Technology Assumptions'!B$4)/1000</f>
        <v>13.648</v>
      </c>
      <c r="AG14" s="66">
        <f>('Energy Content Assumptions'!$B$69/'Technology Assumptions'!C$4)/1000</f>
        <v>13.648</v>
      </c>
      <c r="AH14" s="66">
        <f>('Energy Content Assumptions'!$B$69/'Technology Assumptions'!D$4)/1000</f>
        <v>13.648</v>
      </c>
      <c r="AI14" s="69">
        <f>('Energy Content Assumptions'!$B$69/'Technology Assumptions'!E$4)/1000</f>
        <v>13.648</v>
      </c>
      <c r="AJ14" s="66" t="s">
        <v>431</v>
      </c>
      <c r="AK14" s="66" t="s">
        <v>431</v>
      </c>
      <c r="AL14" s="66" t="s">
        <v>431</v>
      </c>
      <c r="AM14" s="69" t="s">
        <v>431</v>
      </c>
      <c r="AN14" s="66">
        <f>('Energy Content Assumptions'!$B$69/'Technology Assumptions'!B$7)/1000</f>
        <v>8.7487179487179496</v>
      </c>
      <c r="AO14" s="66">
        <f>('Energy Content Assumptions'!$B$69/'Technology Assumptions'!C$7)/1000</f>
        <v>8.7487179487179496</v>
      </c>
      <c r="AP14" s="66">
        <f>('Energy Content Assumptions'!$B$69/'Technology Assumptions'!D$7)/1000</f>
        <v>8.7487179487179496</v>
      </c>
      <c r="AQ14" s="69">
        <f>('Energy Content Assumptions'!$B$69/'Technology Assumptions'!E$7)/1000</f>
        <v>8.7487179487179496</v>
      </c>
      <c r="AR14" s="66">
        <f>('Energy Content Assumptions'!$B$69/'Technology Assumptions'!B$6)/1000</f>
        <v>9.7485714285714291</v>
      </c>
      <c r="AS14" s="66">
        <f>('Energy Content Assumptions'!$B$69/'Technology Assumptions'!C$6)/1000</f>
        <v>9.7485714285714291</v>
      </c>
      <c r="AT14" s="66">
        <f>('Energy Content Assumptions'!$B$69/'Technology Assumptions'!D$6)/1000</f>
        <v>9.7485714285714291</v>
      </c>
      <c r="AU14" s="69">
        <f>('Energy Content Assumptions'!$B$69/'Technology Assumptions'!E$6)/1000</f>
        <v>9.7485714285714291</v>
      </c>
      <c r="AV14" s="51" t="s">
        <v>431</v>
      </c>
      <c r="AW14" s="51" t="s">
        <v>431</v>
      </c>
      <c r="AX14" s="51" t="s">
        <v>431</v>
      </c>
      <c r="AY14" s="65" t="s">
        <v>431</v>
      </c>
      <c r="AZ14" s="88">
        <f>('Energy Content Assumptions'!$B$69/'Technology Assumptions'!B$11)/1000</f>
        <v>18.052910052910054</v>
      </c>
      <c r="BA14" s="88">
        <f>('Energy Content Assumptions'!$B$69/'Technology Assumptions'!C$11)/1000</f>
        <v>18.052910052910054</v>
      </c>
      <c r="BB14" s="88">
        <f>('Energy Content Assumptions'!$B$69/'Technology Assumptions'!D$11)/1000</f>
        <v>18.052910052910054</v>
      </c>
      <c r="BC14" s="89">
        <f>('Energy Content Assumptions'!$B$69/'Technology Assumptions'!E$11)/1000</f>
        <v>18.052910052910054</v>
      </c>
      <c r="BD14" s="316">
        <f>'Technology Assumptions'!B$28</f>
        <v>41.4</v>
      </c>
      <c r="BE14" s="316">
        <f>'Technology Assumptions'!C$28</f>
        <v>41.4</v>
      </c>
      <c r="BF14" s="316">
        <f>'Technology Assumptions'!D$28</f>
        <v>41.4</v>
      </c>
      <c r="BG14" s="326">
        <f>'Technology Assumptions'!E$28</f>
        <v>41.4</v>
      </c>
      <c r="BH14" s="252">
        <f>'Fuel Yields Eth. and DA Hydrol.'!$F$15</f>
        <v>71.417203698514982</v>
      </c>
      <c r="BI14" s="252">
        <f>'Fuel Yields Eth. and DA Hydrol.'!$F$15</f>
        <v>71.417203698514982</v>
      </c>
      <c r="BJ14" s="252">
        <f>'Fuel Yields Eth. and DA Hydrol.'!$F$15</f>
        <v>71.417203698514982</v>
      </c>
      <c r="BK14" s="255">
        <f>'Fuel Yields Eth. and DA Hydrol.'!$F$15</f>
        <v>71.417203698514982</v>
      </c>
      <c r="BL14" s="51" t="s">
        <v>431</v>
      </c>
      <c r="BM14" s="51" t="s">
        <v>431</v>
      </c>
      <c r="BN14" s="51" t="s">
        <v>431</v>
      </c>
      <c r="BO14" s="140" t="s">
        <v>431</v>
      </c>
    </row>
    <row r="15" spans="1:82" x14ac:dyDescent="0.25">
      <c r="A15" s="1093"/>
      <c r="B15" s="11" t="s">
        <v>520</v>
      </c>
      <c r="C15" s="32">
        <f>'Energy Content Assumptions'!B12*2000/1000000</f>
        <v>15.6</v>
      </c>
      <c r="D15" s="32" t="s">
        <v>261</v>
      </c>
      <c r="E15" s="119"/>
      <c r="F15" s="333" t="str">
        <f>IF($F$2='Bioenergy Calculator'!$X$9,AF15,IF($F$2='Bioenergy Calculator'!$X$10,AJ15,IF($F$2='Bioenergy Calculator'!$X$11,AN15,IF($F$2='Bioenergy Calculator'!$X$12,P15,IF($F$2='Bioenergy Calculator'!$X$13,AR15,IF($F$2='Bioenergy Calculator'!$X$14,AV15,IF($F$2='Bioenergy Calculator'!$X$15,AZ15,"NA")))))))</f>
        <v>NA</v>
      </c>
      <c r="G15" s="66" t="str">
        <f>IF($F$2='Bioenergy Calculator'!$X$9,AG15,IF($F$2='Bioenergy Calculator'!$X$10,AK15,IF($F$2='Bioenergy Calculator'!$X$11,AO15,IF($F$2='Bioenergy Calculator'!$X$12,Q15,IF($F$2='Bioenergy Calculator'!$X$13,AS15,IF($F$2='Bioenergy Calculator'!$X$14,AW15,IF($F$2='Bioenergy Calculator'!$X$15,BA15,"NA")))))))</f>
        <v>NA</v>
      </c>
      <c r="H15" s="66" t="str">
        <f>IF($F$2='Bioenergy Calculator'!$X$9,AH15,IF($F$2='Bioenergy Calculator'!$X$10,AL15,IF($F$2='Bioenergy Calculator'!$X$11,AP15,IF($F$2='Bioenergy Calculator'!$X$12,R15,IF($F$2='Bioenergy Calculator'!$X$13,AT15,IF($F$2='Bioenergy Calculator'!$X$14,AX15,IF($F$2='Bioenergy Calculator'!$X$15,BB15,"NA")))))))</f>
        <v>NA</v>
      </c>
      <c r="I15" s="334" t="str">
        <f>IF($F$2='Bioenergy Calculator'!$X$9,AI15,IF($F$2='Bioenergy Calculator'!$X$10,AM15,IF($F$2='Bioenergy Calculator'!$X$11,AQ15,IF($F$2='Bioenergy Calculator'!$X$12,S15,IF($F$2='Bioenergy Calculator'!$X$13,AU15,IF($F$2='Bioenergy Calculator'!$X$14,AY15,IF($F$2='Bioenergy Calculator'!$X$15,BC15,"NA")))))))</f>
        <v>NA</v>
      </c>
      <c r="J15" s="117"/>
      <c r="K15" s="333" t="str">
        <f>IF($K$2='Bioenergy Calculator'!$X$21,X15,IF($K$2='Bioenergy Calculator'!$X$22,BH15,IF($K$2='Bioenergy Calculator'!$X$23,BD15,IF($K$2='Bioenergy Calculator'!$X$19,T15,IF($K$2='Bioenergy Calculator'!$X$20,AB15,IF($K$2='Bioenergy Calculator'!$X$24,'Conversion Tables'!BL15,"NA"))))))</f>
        <v>NA</v>
      </c>
      <c r="L15" s="66" t="str">
        <f>IF($K$2='Bioenergy Calculator'!$X$21,Y15,IF($K$2='Bioenergy Calculator'!$X$22,BI15,IF($K$2='Bioenergy Calculator'!$X$23,BE15,IF($K$2='Bioenergy Calculator'!$X$19,U15,IF($K$2='Bioenergy Calculator'!$X$20,AC15,IF($K$2='Bioenergy Calculator'!$X$24,'Conversion Tables'!BM15,"NA"))))))</f>
        <v>NA</v>
      </c>
      <c r="M15" s="66" t="str">
        <f>IF($K$2='Bioenergy Calculator'!$X$21,Z15,IF($K$2='Bioenergy Calculator'!$X$22,BJ15,IF($K$2='Bioenergy Calculator'!$X$23,BF15,IF($K$2='Bioenergy Calculator'!$X$19,V15,IF($K$2='Bioenergy Calculator'!$X$20,AD15,IF($K$2='Bioenergy Calculator'!$X$24,'Conversion Tables'!BN15,"NA"))))))</f>
        <v>NA</v>
      </c>
      <c r="N15" s="334" t="str">
        <f>IF($K$2='Bioenergy Calculator'!$X$21,AA15,IF($K$2='Bioenergy Calculator'!$X$22,BK15,IF($K$2='Bioenergy Calculator'!$X$23,BG15,IF($K$2='Bioenergy Calculator'!$X$19,W15,IF($K$2='Bioenergy Calculator'!$X$20,AE15,IF($K$2='Bioenergy Calculator'!$X$24,'Conversion Tables'!BO15,"NA"))))))</f>
        <v>NA</v>
      </c>
      <c r="O15" s="84"/>
      <c r="P15" s="68" t="s">
        <v>431</v>
      </c>
      <c r="Q15" s="51" t="s">
        <v>431</v>
      </c>
      <c r="R15" s="51" t="s">
        <v>431</v>
      </c>
      <c r="S15" s="65" t="s">
        <v>431</v>
      </c>
      <c r="T15" s="51" t="s">
        <v>431</v>
      </c>
      <c r="U15" s="51" t="s">
        <v>431</v>
      </c>
      <c r="V15" s="51" t="s">
        <v>431</v>
      </c>
      <c r="W15" s="65" t="s">
        <v>431</v>
      </c>
      <c r="X15" s="252">
        <f>'Fuel Yields Eth. and DA Hydrol.'!I15</f>
        <v>69.44274809160305</v>
      </c>
      <c r="Y15" s="252">
        <f>'Fuel Yields Eth. and DA Hydrol.'!J15</f>
        <v>83.311092271623536</v>
      </c>
      <c r="Z15" s="252">
        <f>'Fuel Yields Eth. and DA Hydrol.'!K15</f>
        <v>95.212676881855472</v>
      </c>
      <c r="AA15" s="255">
        <f>'Fuel Yields Eth. and DA Hydrol.'!L15</f>
        <v>107.11426149208741</v>
      </c>
      <c r="AB15" s="51" t="s">
        <v>431</v>
      </c>
      <c r="AC15" s="51" t="s">
        <v>431</v>
      </c>
      <c r="AD15" s="51" t="s">
        <v>431</v>
      </c>
      <c r="AE15" s="65" t="s">
        <v>431</v>
      </c>
      <c r="AF15" s="668">
        <f>('Energy Content Assumptions'!$B$69/'Technology Assumptions'!B$4)/1000</f>
        <v>13.648</v>
      </c>
      <c r="AG15" s="66">
        <f>('Energy Content Assumptions'!$B$69/'Technology Assumptions'!C$4)/1000</f>
        <v>13.648</v>
      </c>
      <c r="AH15" s="66">
        <f>('Energy Content Assumptions'!$B$69/'Technology Assumptions'!D$4)/1000</f>
        <v>13.648</v>
      </c>
      <c r="AI15" s="69">
        <f>('Energy Content Assumptions'!$B$69/'Technology Assumptions'!E$4)/1000</f>
        <v>13.648</v>
      </c>
      <c r="AJ15" s="66" t="s">
        <v>431</v>
      </c>
      <c r="AK15" s="66" t="s">
        <v>431</v>
      </c>
      <c r="AL15" s="66" t="s">
        <v>431</v>
      </c>
      <c r="AM15" s="69" t="s">
        <v>431</v>
      </c>
      <c r="AN15" s="66">
        <f>('Energy Content Assumptions'!$B$69/'Technology Assumptions'!B$7)/1000</f>
        <v>8.7487179487179496</v>
      </c>
      <c r="AO15" s="66">
        <f>('Energy Content Assumptions'!$B$69/'Technology Assumptions'!C$7)/1000</f>
        <v>8.7487179487179496</v>
      </c>
      <c r="AP15" s="66">
        <f>('Energy Content Assumptions'!$B$69/'Technology Assumptions'!D$7)/1000</f>
        <v>8.7487179487179496</v>
      </c>
      <c r="AQ15" s="69">
        <f>('Energy Content Assumptions'!$B$69/'Technology Assumptions'!E$7)/1000</f>
        <v>8.7487179487179496</v>
      </c>
      <c r="AR15" s="66">
        <f>('Energy Content Assumptions'!$B$69/'Technology Assumptions'!B$6)/1000</f>
        <v>9.7485714285714291</v>
      </c>
      <c r="AS15" s="66">
        <f>('Energy Content Assumptions'!$B$69/'Technology Assumptions'!C$6)/1000</f>
        <v>9.7485714285714291</v>
      </c>
      <c r="AT15" s="66">
        <f>('Energy Content Assumptions'!$B$69/'Technology Assumptions'!D$6)/1000</f>
        <v>9.7485714285714291</v>
      </c>
      <c r="AU15" s="69">
        <f>('Energy Content Assumptions'!$B$69/'Technology Assumptions'!E$6)/1000</f>
        <v>9.7485714285714291</v>
      </c>
      <c r="AV15" s="51" t="s">
        <v>431</v>
      </c>
      <c r="AW15" s="51" t="s">
        <v>431</v>
      </c>
      <c r="AX15" s="51" t="s">
        <v>431</v>
      </c>
      <c r="AY15" s="65" t="s">
        <v>431</v>
      </c>
      <c r="AZ15" s="88">
        <f>('Energy Content Assumptions'!$B$69/'Technology Assumptions'!B$11)/1000</f>
        <v>18.052910052910054</v>
      </c>
      <c r="BA15" s="88">
        <f>('Energy Content Assumptions'!$B$69/'Technology Assumptions'!C$11)/1000</f>
        <v>18.052910052910054</v>
      </c>
      <c r="BB15" s="88">
        <f>('Energy Content Assumptions'!$B$69/'Technology Assumptions'!D$11)/1000</f>
        <v>18.052910052910054</v>
      </c>
      <c r="BC15" s="89">
        <f>('Energy Content Assumptions'!$B$69/'Technology Assumptions'!E$11)/1000</f>
        <v>18.052910052910054</v>
      </c>
      <c r="BD15" s="316">
        <f>'Technology Assumptions'!B$28</f>
        <v>41.4</v>
      </c>
      <c r="BE15" s="316">
        <f>'Technology Assumptions'!C$28</f>
        <v>41.4</v>
      </c>
      <c r="BF15" s="316">
        <f>'Technology Assumptions'!D$28</f>
        <v>41.4</v>
      </c>
      <c r="BG15" s="326">
        <f>'Technology Assumptions'!E$28</f>
        <v>41.4</v>
      </c>
      <c r="BH15" s="252">
        <f>'Fuel Yields Eth. and DA Hydrol.'!$F$15</f>
        <v>71.417203698514982</v>
      </c>
      <c r="BI15" s="252">
        <f>'Fuel Yields Eth. and DA Hydrol.'!$F$15</f>
        <v>71.417203698514982</v>
      </c>
      <c r="BJ15" s="252">
        <f>'Fuel Yields Eth. and DA Hydrol.'!$F$15</f>
        <v>71.417203698514982</v>
      </c>
      <c r="BK15" s="255">
        <f>'Fuel Yields Eth. and DA Hydrol.'!$F$15</f>
        <v>71.417203698514982</v>
      </c>
      <c r="BL15" s="51" t="s">
        <v>431</v>
      </c>
      <c r="BM15" s="51" t="s">
        <v>431</v>
      </c>
      <c r="BN15" s="51" t="s">
        <v>431</v>
      </c>
      <c r="BO15" s="140" t="s">
        <v>431</v>
      </c>
    </row>
    <row r="16" spans="1:82" x14ac:dyDescent="0.25">
      <c r="A16" s="1093"/>
      <c r="B16" s="11" t="s">
        <v>521</v>
      </c>
      <c r="C16" s="32">
        <f>'Energy Content Assumptions'!B13*2000/1000000</f>
        <v>15.731999999999999</v>
      </c>
      <c r="D16" s="32" t="s">
        <v>261</v>
      </c>
      <c r="E16" s="119"/>
      <c r="F16" s="333" t="str">
        <f>IF($F$2='Bioenergy Calculator'!$X$9,AF16,IF($F$2='Bioenergy Calculator'!$X$10,AJ16,IF($F$2='Bioenergy Calculator'!$X$11,AN16,IF($F$2='Bioenergy Calculator'!$X$12,P16,IF($F$2='Bioenergy Calculator'!$X$13,AR16,IF($F$2='Bioenergy Calculator'!$X$14,AV16,IF($F$2='Bioenergy Calculator'!$X$15,AZ16,"NA")))))))</f>
        <v>NA</v>
      </c>
      <c r="G16" s="66" t="str">
        <f>IF($F$2='Bioenergy Calculator'!$X$9,AG16,IF($F$2='Bioenergy Calculator'!$X$10,AK16,IF($F$2='Bioenergy Calculator'!$X$11,AO16,IF($F$2='Bioenergy Calculator'!$X$12,Q16,IF($F$2='Bioenergy Calculator'!$X$13,AS16,IF($F$2='Bioenergy Calculator'!$X$14,AW16,IF($F$2='Bioenergy Calculator'!$X$15,BA16,"NA")))))))</f>
        <v>NA</v>
      </c>
      <c r="H16" s="66" t="str">
        <f>IF($F$2='Bioenergy Calculator'!$X$9,AH16,IF($F$2='Bioenergy Calculator'!$X$10,AL16,IF($F$2='Bioenergy Calculator'!$X$11,AP16,IF($F$2='Bioenergy Calculator'!$X$12,R16,IF($F$2='Bioenergy Calculator'!$X$13,AT16,IF($F$2='Bioenergy Calculator'!$X$14,AX16,IF($F$2='Bioenergy Calculator'!$X$15,BB16,"NA")))))))</f>
        <v>NA</v>
      </c>
      <c r="I16" s="334" t="str">
        <f>IF($F$2='Bioenergy Calculator'!$X$9,AI16,IF($F$2='Bioenergy Calculator'!$X$10,AM16,IF($F$2='Bioenergy Calculator'!$X$11,AQ16,IF($F$2='Bioenergy Calculator'!$X$12,S16,IF($F$2='Bioenergy Calculator'!$X$13,AU16,IF($F$2='Bioenergy Calculator'!$X$14,AY16,IF($F$2='Bioenergy Calculator'!$X$15,BC16,"NA")))))))</f>
        <v>NA</v>
      </c>
      <c r="J16" s="117"/>
      <c r="K16" s="333" t="str">
        <f>IF($K$2='Bioenergy Calculator'!$X$21,X16,IF($K$2='Bioenergy Calculator'!$X$22,BH16,IF($K$2='Bioenergy Calculator'!$X$23,BD16,IF($K$2='Bioenergy Calculator'!$X$19,T16,IF($K$2='Bioenergy Calculator'!$X$20,AB16,IF($K$2='Bioenergy Calculator'!$X$24,'Conversion Tables'!BL16,"NA"))))))</f>
        <v>NA</v>
      </c>
      <c r="L16" s="66" t="str">
        <f>IF($K$2='Bioenergy Calculator'!$X$21,Y16,IF($K$2='Bioenergy Calculator'!$X$22,BI16,IF($K$2='Bioenergy Calculator'!$X$23,BE16,IF($K$2='Bioenergy Calculator'!$X$19,U16,IF($K$2='Bioenergy Calculator'!$X$20,AC16,IF($K$2='Bioenergy Calculator'!$X$24,'Conversion Tables'!BM16,"NA"))))))</f>
        <v>NA</v>
      </c>
      <c r="M16" s="66" t="str">
        <f>IF($K$2='Bioenergy Calculator'!$X$21,Z16,IF($K$2='Bioenergy Calculator'!$X$22,BJ16,IF($K$2='Bioenergy Calculator'!$X$23,BF16,IF($K$2='Bioenergy Calculator'!$X$19,V16,IF($K$2='Bioenergy Calculator'!$X$20,AD16,IF($K$2='Bioenergy Calculator'!$X$24,'Conversion Tables'!BN16,"NA"))))))</f>
        <v>NA</v>
      </c>
      <c r="N16" s="334" t="str">
        <f>IF($K$2='Bioenergy Calculator'!$X$21,AA16,IF($K$2='Bioenergy Calculator'!$X$22,BK16,IF($K$2='Bioenergy Calculator'!$X$23,BG16,IF($K$2='Bioenergy Calculator'!$X$19,W16,IF($K$2='Bioenergy Calculator'!$X$20,AE16,IF($K$2='Bioenergy Calculator'!$X$24,'Conversion Tables'!BO16,"NA"))))))</f>
        <v>NA</v>
      </c>
      <c r="O16" s="84"/>
      <c r="P16" s="68" t="s">
        <v>431</v>
      </c>
      <c r="Q16" s="51" t="s">
        <v>431</v>
      </c>
      <c r="R16" s="51" t="s">
        <v>431</v>
      </c>
      <c r="S16" s="65" t="s">
        <v>431</v>
      </c>
      <c r="T16" s="51" t="s">
        <v>431</v>
      </c>
      <c r="U16" s="51" t="s">
        <v>431</v>
      </c>
      <c r="V16" s="51" t="s">
        <v>431</v>
      </c>
      <c r="W16" s="65" t="s">
        <v>431</v>
      </c>
      <c r="X16" s="252">
        <f>'Fuel Yields Eth. and DA Hydrol.'!I14</f>
        <v>58.347480916030534</v>
      </c>
      <c r="Y16" s="252">
        <f>'Fuel Yields Eth. and DA Hydrol.'!J14</f>
        <v>70</v>
      </c>
      <c r="Z16" s="252">
        <f>'Fuel Yields Eth. and DA Hydrol.'!K14</f>
        <v>80</v>
      </c>
      <c r="AA16" s="255">
        <f>'Fuel Yields Eth. and DA Hydrol.'!L14</f>
        <v>90</v>
      </c>
      <c r="AB16" s="51" t="s">
        <v>431</v>
      </c>
      <c r="AC16" s="51" t="s">
        <v>431</v>
      </c>
      <c r="AD16" s="51" t="s">
        <v>431</v>
      </c>
      <c r="AE16" s="65" t="s">
        <v>431</v>
      </c>
      <c r="AF16" s="668">
        <f>('Energy Content Assumptions'!$B$69/'Technology Assumptions'!B$4)/1000</f>
        <v>13.648</v>
      </c>
      <c r="AG16" s="66">
        <f>('Energy Content Assumptions'!$B$69/'Technology Assumptions'!C$4)/1000</f>
        <v>13.648</v>
      </c>
      <c r="AH16" s="66">
        <f>('Energy Content Assumptions'!$B$69/'Technology Assumptions'!D$4)/1000</f>
        <v>13.648</v>
      </c>
      <c r="AI16" s="69">
        <f>('Energy Content Assumptions'!$B$69/'Technology Assumptions'!E$4)/1000</f>
        <v>13.648</v>
      </c>
      <c r="AJ16" s="66" t="s">
        <v>431</v>
      </c>
      <c r="AK16" s="66" t="s">
        <v>431</v>
      </c>
      <c r="AL16" s="66" t="s">
        <v>431</v>
      </c>
      <c r="AM16" s="69" t="s">
        <v>431</v>
      </c>
      <c r="AN16" s="66">
        <f>('Energy Content Assumptions'!$B$69/'Technology Assumptions'!B$7)/1000</f>
        <v>8.7487179487179496</v>
      </c>
      <c r="AO16" s="66">
        <f>('Energy Content Assumptions'!$B$69/'Technology Assumptions'!C$7)/1000</f>
        <v>8.7487179487179496</v>
      </c>
      <c r="AP16" s="66">
        <f>('Energy Content Assumptions'!$B$69/'Technology Assumptions'!D$7)/1000</f>
        <v>8.7487179487179496</v>
      </c>
      <c r="AQ16" s="69">
        <f>('Energy Content Assumptions'!$B$69/'Technology Assumptions'!E$7)/1000</f>
        <v>8.7487179487179496</v>
      </c>
      <c r="AR16" s="66">
        <f>('Energy Content Assumptions'!$B$69/'Technology Assumptions'!B$6)/1000</f>
        <v>9.7485714285714291</v>
      </c>
      <c r="AS16" s="66">
        <f>('Energy Content Assumptions'!$B$69/'Technology Assumptions'!C$6)/1000</f>
        <v>9.7485714285714291</v>
      </c>
      <c r="AT16" s="66">
        <f>('Energy Content Assumptions'!$B$69/'Technology Assumptions'!D$6)/1000</f>
        <v>9.7485714285714291</v>
      </c>
      <c r="AU16" s="69">
        <f>('Energy Content Assumptions'!$B$69/'Technology Assumptions'!E$6)/1000</f>
        <v>9.7485714285714291</v>
      </c>
      <c r="AV16" s="51" t="s">
        <v>431</v>
      </c>
      <c r="AW16" s="51" t="s">
        <v>431</v>
      </c>
      <c r="AX16" s="51" t="s">
        <v>431</v>
      </c>
      <c r="AY16" s="65" t="s">
        <v>431</v>
      </c>
      <c r="AZ16" s="88">
        <f>('Energy Content Assumptions'!$B$69/'Technology Assumptions'!B$11)/1000</f>
        <v>18.052910052910054</v>
      </c>
      <c r="BA16" s="88">
        <f>('Energy Content Assumptions'!$B$69/'Technology Assumptions'!C$11)/1000</f>
        <v>18.052910052910054</v>
      </c>
      <c r="BB16" s="88">
        <f>('Energy Content Assumptions'!$B$69/'Technology Assumptions'!D$11)/1000</f>
        <v>18.052910052910054</v>
      </c>
      <c r="BC16" s="89">
        <f>('Energy Content Assumptions'!$B$69/'Technology Assumptions'!E$11)/1000</f>
        <v>18.052910052910054</v>
      </c>
      <c r="BD16" s="316">
        <f>'Technology Assumptions'!B$28</f>
        <v>41.4</v>
      </c>
      <c r="BE16" s="316">
        <f>'Technology Assumptions'!C$28</f>
        <v>41.4</v>
      </c>
      <c r="BF16" s="316">
        <f>'Technology Assumptions'!D$28</f>
        <v>41.4</v>
      </c>
      <c r="BG16" s="326">
        <f>'Technology Assumptions'!E$28</f>
        <v>41.4</v>
      </c>
      <c r="BH16" s="252">
        <f>'Fuel Yields Eth. and DA Hydrol.'!$F$14</f>
        <v>69.612776688147932</v>
      </c>
      <c r="BI16" s="252">
        <f>'Fuel Yields Eth. and DA Hydrol.'!$F$14</f>
        <v>69.612776688147932</v>
      </c>
      <c r="BJ16" s="252">
        <f>'Fuel Yields Eth. and DA Hydrol.'!$F$14</f>
        <v>69.612776688147932</v>
      </c>
      <c r="BK16" s="255">
        <f>'Fuel Yields Eth. and DA Hydrol.'!$F$14</f>
        <v>69.612776688147932</v>
      </c>
      <c r="BL16" s="51" t="s">
        <v>431</v>
      </c>
      <c r="BM16" s="51" t="s">
        <v>431</v>
      </c>
      <c r="BN16" s="51" t="s">
        <v>431</v>
      </c>
      <c r="BO16" s="140" t="s">
        <v>431</v>
      </c>
    </row>
    <row r="17" spans="1:67" x14ac:dyDescent="0.25">
      <c r="A17" s="1093"/>
      <c r="B17" s="11" t="s">
        <v>528</v>
      </c>
      <c r="C17" s="32">
        <f>'Energy Content Assumptions'!B14*2000/1000000</f>
        <v>15.731999999999999</v>
      </c>
      <c r="D17" s="32" t="s">
        <v>261</v>
      </c>
      <c r="E17" s="119"/>
      <c r="F17" s="333" t="str">
        <f>IF($F$2='Bioenergy Calculator'!$X$9,AF17,IF($F$2='Bioenergy Calculator'!$X$10,AJ17,IF($F$2='Bioenergy Calculator'!$X$11,AN17,IF($F$2='Bioenergy Calculator'!$X$12,P17,IF($F$2='Bioenergy Calculator'!$X$13,AR17,IF($F$2='Bioenergy Calculator'!$X$14,AV17,IF($F$2='Bioenergy Calculator'!$X$15,AZ17,"NA")))))))</f>
        <v>NA</v>
      </c>
      <c r="G17" s="66" t="str">
        <f>IF($F$2='Bioenergy Calculator'!$X$9,AG17,IF($F$2='Bioenergy Calculator'!$X$10,AK17,IF($F$2='Bioenergy Calculator'!$X$11,AO17,IF($F$2='Bioenergy Calculator'!$X$12,Q17,IF($F$2='Bioenergy Calculator'!$X$13,AS17,IF($F$2='Bioenergy Calculator'!$X$14,AW17,IF($F$2='Bioenergy Calculator'!$X$15,BA17,"NA")))))))</f>
        <v>NA</v>
      </c>
      <c r="H17" s="66" t="str">
        <f>IF($F$2='Bioenergy Calculator'!$X$9,AH17,IF($F$2='Bioenergy Calculator'!$X$10,AL17,IF($F$2='Bioenergy Calculator'!$X$11,AP17,IF($F$2='Bioenergy Calculator'!$X$12,R17,IF($F$2='Bioenergy Calculator'!$X$13,AT17,IF($F$2='Bioenergy Calculator'!$X$14,AX17,IF($F$2='Bioenergy Calculator'!$X$15,BB17,"NA")))))))</f>
        <v>NA</v>
      </c>
      <c r="I17" s="334" t="str">
        <f>IF($F$2='Bioenergy Calculator'!$X$9,AI17,IF($F$2='Bioenergy Calculator'!$X$10,AM17,IF($F$2='Bioenergy Calculator'!$X$11,AQ17,IF($F$2='Bioenergy Calculator'!$X$12,S17,IF($F$2='Bioenergy Calculator'!$X$13,AU17,IF($F$2='Bioenergy Calculator'!$X$14,AY17,IF($F$2='Bioenergy Calculator'!$X$15,BC17,"NA")))))))</f>
        <v>NA</v>
      </c>
      <c r="J17" s="117"/>
      <c r="K17" s="333" t="str">
        <f>IF($K$2='Bioenergy Calculator'!$X$21,X17,IF($K$2='Bioenergy Calculator'!$X$22,BH17,IF($K$2='Bioenergy Calculator'!$X$23,BD17,IF($K$2='Bioenergy Calculator'!$X$19,T17,IF($K$2='Bioenergy Calculator'!$X$20,AB17,IF($K$2='Bioenergy Calculator'!$X$24,'Conversion Tables'!BL17,"NA"))))))</f>
        <v>NA</v>
      </c>
      <c r="L17" s="66" t="str">
        <f>IF($K$2='Bioenergy Calculator'!$X$21,Y17,IF($K$2='Bioenergy Calculator'!$X$22,BI17,IF($K$2='Bioenergy Calculator'!$X$23,BE17,IF($K$2='Bioenergy Calculator'!$X$19,U17,IF($K$2='Bioenergy Calculator'!$X$20,AC17,IF($K$2='Bioenergy Calculator'!$X$24,'Conversion Tables'!BM17,"NA"))))))</f>
        <v>NA</v>
      </c>
      <c r="M17" s="66" t="str">
        <f>IF($K$2='Bioenergy Calculator'!$X$21,Z17,IF($K$2='Bioenergy Calculator'!$X$22,BJ17,IF($K$2='Bioenergy Calculator'!$X$23,BF17,IF($K$2='Bioenergy Calculator'!$X$19,V17,IF($K$2='Bioenergy Calculator'!$X$20,AD17,IF($K$2='Bioenergy Calculator'!$X$24,'Conversion Tables'!BN17,"NA"))))))</f>
        <v>NA</v>
      </c>
      <c r="N17" s="334" t="str">
        <f>IF($K$2='Bioenergy Calculator'!$X$21,AA17,IF($K$2='Bioenergy Calculator'!$X$22,BK17,IF($K$2='Bioenergy Calculator'!$X$23,BG17,IF($K$2='Bioenergy Calculator'!$X$19,W17,IF($K$2='Bioenergy Calculator'!$X$20,AE17,IF($K$2='Bioenergy Calculator'!$X$24,'Conversion Tables'!BO17,"NA"))))))</f>
        <v>NA</v>
      </c>
      <c r="O17" s="84"/>
      <c r="P17" s="68" t="s">
        <v>431</v>
      </c>
      <c r="Q17" s="51" t="s">
        <v>431</v>
      </c>
      <c r="R17" s="51" t="s">
        <v>431</v>
      </c>
      <c r="S17" s="65" t="s">
        <v>431</v>
      </c>
      <c r="T17" s="51" t="s">
        <v>431</v>
      </c>
      <c r="U17" s="51" t="s">
        <v>431</v>
      </c>
      <c r="V17" s="51" t="s">
        <v>431</v>
      </c>
      <c r="W17" s="65" t="s">
        <v>431</v>
      </c>
      <c r="X17" s="252">
        <f>'Fuel Yields Eth. and DA Hydrol.'!I14</f>
        <v>58.347480916030534</v>
      </c>
      <c r="Y17" s="252">
        <f>'Fuel Yields Eth. and DA Hydrol.'!J14</f>
        <v>70</v>
      </c>
      <c r="Z17" s="252">
        <f>'Fuel Yields Eth. and DA Hydrol.'!K14</f>
        <v>80</v>
      </c>
      <c r="AA17" s="255">
        <f>'Fuel Yields Eth. and DA Hydrol.'!L14</f>
        <v>90</v>
      </c>
      <c r="AB17" s="51" t="s">
        <v>431</v>
      </c>
      <c r="AC17" s="51" t="s">
        <v>431</v>
      </c>
      <c r="AD17" s="51" t="s">
        <v>431</v>
      </c>
      <c r="AE17" s="65" t="s">
        <v>431</v>
      </c>
      <c r="AF17" s="668">
        <f>('Energy Content Assumptions'!$B$69/'Technology Assumptions'!B$4)/1000</f>
        <v>13.648</v>
      </c>
      <c r="AG17" s="66">
        <f>('Energy Content Assumptions'!$B$69/'Technology Assumptions'!C$4)/1000</f>
        <v>13.648</v>
      </c>
      <c r="AH17" s="66">
        <f>('Energy Content Assumptions'!$B$69/'Technology Assumptions'!D$4)/1000</f>
        <v>13.648</v>
      </c>
      <c r="AI17" s="69">
        <f>('Energy Content Assumptions'!$B$69/'Technology Assumptions'!E$4)/1000</f>
        <v>13.648</v>
      </c>
      <c r="AJ17" s="66" t="s">
        <v>431</v>
      </c>
      <c r="AK17" s="66" t="s">
        <v>431</v>
      </c>
      <c r="AL17" s="66" t="s">
        <v>431</v>
      </c>
      <c r="AM17" s="69" t="s">
        <v>431</v>
      </c>
      <c r="AN17" s="66">
        <f>('Energy Content Assumptions'!$B$69/'Technology Assumptions'!B$7)/1000</f>
        <v>8.7487179487179496</v>
      </c>
      <c r="AO17" s="66">
        <f>('Energy Content Assumptions'!$B$69/'Technology Assumptions'!C$7)/1000</f>
        <v>8.7487179487179496</v>
      </c>
      <c r="AP17" s="66">
        <f>('Energy Content Assumptions'!$B$69/'Technology Assumptions'!D$7)/1000</f>
        <v>8.7487179487179496</v>
      </c>
      <c r="AQ17" s="69">
        <f>('Energy Content Assumptions'!$B$69/'Technology Assumptions'!E$7)/1000</f>
        <v>8.7487179487179496</v>
      </c>
      <c r="AR17" s="66">
        <f>('Energy Content Assumptions'!$B$69/'Technology Assumptions'!B$6)/1000</f>
        <v>9.7485714285714291</v>
      </c>
      <c r="AS17" s="66">
        <f>('Energy Content Assumptions'!$B$69/'Technology Assumptions'!C$6)/1000</f>
        <v>9.7485714285714291</v>
      </c>
      <c r="AT17" s="66">
        <f>('Energy Content Assumptions'!$B$69/'Technology Assumptions'!D$6)/1000</f>
        <v>9.7485714285714291</v>
      </c>
      <c r="AU17" s="69">
        <f>('Energy Content Assumptions'!$B$69/'Technology Assumptions'!E$6)/1000</f>
        <v>9.7485714285714291</v>
      </c>
      <c r="AV17" s="51" t="s">
        <v>431</v>
      </c>
      <c r="AW17" s="51" t="s">
        <v>431</v>
      </c>
      <c r="AX17" s="51" t="s">
        <v>431</v>
      </c>
      <c r="AY17" s="65" t="s">
        <v>431</v>
      </c>
      <c r="AZ17" s="88">
        <f>('Energy Content Assumptions'!$B$69/'Technology Assumptions'!B$11)/1000</f>
        <v>18.052910052910054</v>
      </c>
      <c r="BA17" s="88">
        <f>('Energy Content Assumptions'!$B$69/'Technology Assumptions'!C$11)/1000</f>
        <v>18.052910052910054</v>
      </c>
      <c r="BB17" s="88">
        <f>('Energy Content Assumptions'!$B$69/'Technology Assumptions'!D$11)/1000</f>
        <v>18.052910052910054</v>
      </c>
      <c r="BC17" s="89">
        <f>('Energy Content Assumptions'!$B$69/'Technology Assumptions'!E$11)/1000</f>
        <v>18.052910052910054</v>
      </c>
      <c r="BD17" s="316">
        <f>'Technology Assumptions'!B$28</f>
        <v>41.4</v>
      </c>
      <c r="BE17" s="316">
        <f>'Technology Assumptions'!C$28</f>
        <v>41.4</v>
      </c>
      <c r="BF17" s="316">
        <f>'Technology Assumptions'!D$28</f>
        <v>41.4</v>
      </c>
      <c r="BG17" s="326">
        <f>'Technology Assumptions'!E$28</f>
        <v>41.4</v>
      </c>
      <c r="BH17" s="252">
        <f>'Fuel Yields Eth. and DA Hydrol.'!$F$14</f>
        <v>69.612776688147932</v>
      </c>
      <c r="BI17" s="252">
        <f>'Fuel Yields Eth. and DA Hydrol.'!$F$14</f>
        <v>69.612776688147932</v>
      </c>
      <c r="BJ17" s="252">
        <f>'Fuel Yields Eth. and DA Hydrol.'!$F$14</f>
        <v>69.612776688147932</v>
      </c>
      <c r="BK17" s="255">
        <f>'Fuel Yields Eth. and DA Hydrol.'!$F$14</f>
        <v>69.612776688147932</v>
      </c>
      <c r="BL17" s="51" t="s">
        <v>431</v>
      </c>
      <c r="BM17" s="51" t="s">
        <v>431</v>
      </c>
      <c r="BN17" s="51" t="s">
        <v>431</v>
      </c>
      <c r="BO17" s="140" t="s">
        <v>431</v>
      </c>
    </row>
    <row r="18" spans="1:67" ht="12.75" customHeight="1" x14ac:dyDescent="0.25">
      <c r="A18" s="1093"/>
      <c r="B18" s="11" t="s">
        <v>529</v>
      </c>
      <c r="C18" s="32">
        <f>'Energy Content Assumptions'!B15*2000/1000000</f>
        <v>15.6</v>
      </c>
      <c r="D18" s="32" t="s">
        <v>261</v>
      </c>
      <c r="E18" s="119"/>
      <c r="F18" s="333" t="str">
        <f>IF($F$2='Bioenergy Calculator'!$X$9,AF18,IF($F$2='Bioenergy Calculator'!$X$10,AJ18,IF($F$2='Bioenergy Calculator'!$X$11,AN18,IF($F$2='Bioenergy Calculator'!$X$12,P18,IF($F$2='Bioenergy Calculator'!$X$13,AR18,IF($F$2='Bioenergy Calculator'!$X$14,AV18,IF($F$2='Bioenergy Calculator'!$X$15,AZ18,"NA")))))))</f>
        <v>NA</v>
      </c>
      <c r="G18" s="66" t="str">
        <f>IF($F$2='Bioenergy Calculator'!$X$9,AG18,IF($F$2='Bioenergy Calculator'!$X$10,AK18,IF($F$2='Bioenergy Calculator'!$X$11,AO18,IF($F$2='Bioenergy Calculator'!$X$12,Q18,IF($F$2='Bioenergy Calculator'!$X$13,AS18,IF($F$2='Bioenergy Calculator'!$X$14,AW18,IF($F$2='Bioenergy Calculator'!$X$15,BA18,"NA")))))))</f>
        <v>NA</v>
      </c>
      <c r="H18" s="66" t="str">
        <f>IF($F$2='Bioenergy Calculator'!$X$9,AH18,IF($F$2='Bioenergy Calculator'!$X$10,AL18,IF($F$2='Bioenergy Calculator'!$X$11,AP18,IF($F$2='Bioenergy Calculator'!$X$12,R18,IF($F$2='Bioenergy Calculator'!$X$13,AT18,IF($F$2='Bioenergy Calculator'!$X$14,AX18,IF($F$2='Bioenergy Calculator'!$X$15,BB18,"NA")))))))</f>
        <v>NA</v>
      </c>
      <c r="I18" s="334" t="str">
        <f>IF($F$2='Bioenergy Calculator'!$X$9,AI18,IF($F$2='Bioenergy Calculator'!$X$10,AM18,IF($F$2='Bioenergy Calculator'!$X$11,AQ18,IF($F$2='Bioenergy Calculator'!$X$12,S18,IF($F$2='Bioenergy Calculator'!$X$13,AU18,IF($F$2='Bioenergy Calculator'!$X$14,AY18,IF($F$2='Bioenergy Calculator'!$X$15,BC18,"NA")))))))</f>
        <v>NA</v>
      </c>
      <c r="J18" s="117"/>
      <c r="K18" s="333" t="str">
        <f>IF($K$2='Bioenergy Calculator'!$X$21,X18,IF($K$2='Bioenergy Calculator'!$X$22,BH18,IF($K$2='Bioenergy Calculator'!$X$23,BD18,IF($K$2='Bioenergy Calculator'!$X$19,T18,IF($K$2='Bioenergy Calculator'!$X$20,AB18,IF($K$2='Bioenergy Calculator'!$X$24,'Conversion Tables'!BL18,"NA"))))))</f>
        <v>NA</v>
      </c>
      <c r="L18" s="66" t="str">
        <f>IF($K$2='Bioenergy Calculator'!$X$21,Y18,IF($K$2='Bioenergy Calculator'!$X$22,BI18,IF($K$2='Bioenergy Calculator'!$X$23,BE18,IF($K$2='Bioenergy Calculator'!$X$19,U18,IF($K$2='Bioenergy Calculator'!$X$20,AC18,IF($K$2='Bioenergy Calculator'!$X$24,'Conversion Tables'!BM18,"NA"))))))</f>
        <v>NA</v>
      </c>
      <c r="M18" s="66" t="str">
        <f>IF($K$2='Bioenergy Calculator'!$X$21,Z18,IF($K$2='Bioenergy Calculator'!$X$22,BJ18,IF($K$2='Bioenergy Calculator'!$X$23,BF18,IF($K$2='Bioenergy Calculator'!$X$19,V18,IF($K$2='Bioenergy Calculator'!$X$20,AD18,IF($K$2='Bioenergy Calculator'!$X$24,'Conversion Tables'!BN18,"NA"))))))</f>
        <v>NA</v>
      </c>
      <c r="N18" s="334" t="str">
        <f>IF($K$2='Bioenergy Calculator'!$X$21,AA18,IF($K$2='Bioenergy Calculator'!$X$22,BK18,IF($K$2='Bioenergy Calculator'!$X$23,BG18,IF($K$2='Bioenergy Calculator'!$X$19,W18,IF($K$2='Bioenergy Calculator'!$X$20,AE18,IF($K$2='Bioenergy Calculator'!$X$24,'Conversion Tables'!BO18,"NA"))))))</f>
        <v>NA</v>
      </c>
      <c r="O18" s="84"/>
      <c r="P18" s="68" t="s">
        <v>431</v>
      </c>
      <c r="Q18" s="51" t="s">
        <v>431</v>
      </c>
      <c r="R18" s="51" t="s">
        <v>431</v>
      </c>
      <c r="S18" s="65" t="s">
        <v>431</v>
      </c>
      <c r="T18" s="51" t="s">
        <v>431</v>
      </c>
      <c r="U18" s="51" t="s">
        <v>431</v>
      </c>
      <c r="V18" s="51" t="s">
        <v>431</v>
      </c>
      <c r="W18" s="65" t="s">
        <v>431</v>
      </c>
      <c r="X18" s="252">
        <f>'Fuel Yields Eth. and DA Hydrol.'!I15</f>
        <v>69.44274809160305</v>
      </c>
      <c r="Y18" s="252">
        <f>'Fuel Yields Eth. and DA Hydrol.'!J15</f>
        <v>83.311092271623536</v>
      </c>
      <c r="Z18" s="252">
        <f>'Fuel Yields Eth. and DA Hydrol.'!K15</f>
        <v>95.212676881855472</v>
      </c>
      <c r="AA18" s="255">
        <f>'Fuel Yields Eth. and DA Hydrol.'!L15</f>
        <v>107.11426149208741</v>
      </c>
      <c r="AB18" s="51" t="s">
        <v>431</v>
      </c>
      <c r="AC18" s="51" t="s">
        <v>431</v>
      </c>
      <c r="AD18" s="51" t="s">
        <v>431</v>
      </c>
      <c r="AE18" s="65" t="s">
        <v>431</v>
      </c>
      <c r="AF18" s="668">
        <f>('Energy Content Assumptions'!$B$69/'Technology Assumptions'!B$4)/1000</f>
        <v>13.648</v>
      </c>
      <c r="AG18" s="66">
        <f>('Energy Content Assumptions'!$B$69/'Technology Assumptions'!C$4)/1000</f>
        <v>13.648</v>
      </c>
      <c r="AH18" s="66">
        <f>('Energy Content Assumptions'!$B$69/'Technology Assumptions'!D$4)/1000</f>
        <v>13.648</v>
      </c>
      <c r="AI18" s="69">
        <f>('Energy Content Assumptions'!$B$69/'Technology Assumptions'!E$4)/1000</f>
        <v>13.648</v>
      </c>
      <c r="AJ18" s="66" t="s">
        <v>431</v>
      </c>
      <c r="AK18" s="66" t="s">
        <v>431</v>
      </c>
      <c r="AL18" s="66" t="s">
        <v>431</v>
      </c>
      <c r="AM18" s="69" t="s">
        <v>431</v>
      </c>
      <c r="AN18" s="66">
        <f>('Energy Content Assumptions'!$B$69/'Technology Assumptions'!B$7)/1000</f>
        <v>8.7487179487179496</v>
      </c>
      <c r="AO18" s="66">
        <f>('Energy Content Assumptions'!$B$69/'Technology Assumptions'!C$7)/1000</f>
        <v>8.7487179487179496</v>
      </c>
      <c r="AP18" s="66">
        <f>('Energy Content Assumptions'!$B$69/'Technology Assumptions'!D$7)/1000</f>
        <v>8.7487179487179496</v>
      </c>
      <c r="AQ18" s="69">
        <f>('Energy Content Assumptions'!$B$69/'Technology Assumptions'!E$7)/1000</f>
        <v>8.7487179487179496</v>
      </c>
      <c r="AR18" s="66">
        <f>('Energy Content Assumptions'!$B$69/'Technology Assumptions'!B$6)/1000</f>
        <v>9.7485714285714291</v>
      </c>
      <c r="AS18" s="66">
        <f>('Energy Content Assumptions'!$B$69/'Technology Assumptions'!C$6)/1000</f>
        <v>9.7485714285714291</v>
      </c>
      <c r="AT18" s="66">
        <f>('Energy Content Assumptions'!$B$69/'Technology Assumptions'!D$6)/1000</f>
        <v>9.7485714285714291</v>
      </c>
      <c r="AU18" s="69">
        <f>('Energy Content Assumptions'!$B$69/'Technology Assumptions'!E$6)/1000</f>
        <v>9.7485714285714291</v>
      </c>
      <c r="AV18" s="51" t="s">
        <v>431</v>
      </c>
      <c r="AW18" s="51" t="s">
        <v>431</v>
      </c>
      <c r="AX18" s="51" t="s">
        <v>431</v>
      </c>
      <c r="AY18" s="65" t="s">
        <v>431</v>
      </c>
      <c r="AZ18" s="88">
        <f>('Energy Content Assumptions'!$B$69/'Technology Assumptions'!B$11)/1000</f>
        <v>18.052910052910054</v>
      </c>
      <c r="BA18" s="88">
        <f>('Energy Content Assumptions'!$B$69/'Technology Assumptions'!C$11)/1000</f>
        <v>18.052910052910054</v>
      </c>
      <c r="BB18" s="88">
        <f>('Energy Content Assumptions'!$B$69/'Technology Assumptions'!D$11)/1000</f>
        <v>18.052910052910054</v>
      </c>
      <c r="BC18" s="89">
        <f>('Energy Content Assumptions'!$B$69/'Technology Assumptions'!E$11)/1000</f>
        <v>18.052910052910054</v>
      </c>
      <c r="BD18" s="316">
        <f>'Technology Assumptions'!B$28</f>
        <v>41.4</v>
      </c>
      <c r="BE18" s="316">
        <f>'Technology Assumptions'!C$28</f>
        <v>41.4</v>
      </c>
      <c r="BF18" s="316">
        <f>'Technology Assumptions'!D$28</f>
        <v>41.4</v>
      </c>
      <c r="BG18" s="326">
        <f>'Technology Assumptions'!E$28</f>
        <v>41.4</v>
      </c>
      <c r="BH18" s="252">
        <f>'Fuel Yields Eth. and DA Hydrol.'!$F$15</f>
        <v>71.417203698514982</v>
      </c>
      <c r="BI18" s="252">
        <f>'Fuel Yields Eth. and DA Hydrol.'!$F$15</f>
        <v>71.417203698514982</v>
      </c>
      <c r="BJ18" s="252">
        <f>'Fuel Yields Eth. and DA Hydrol.'!$F$15</f>
        <v>71.417203698514982</v>
      </c>
      <c r="BK18" s="255">
        <f>'Fuel Yields Eth. and DA Hydrol.'!$F$15</f>
        <v>71.417203698514982</v>
      </c>
      <c r="BL18" s="51" t="s">
        <v>431</v>
      </c>
      <c r="BM18" s="51" t="s">
        <v>431</v>
      </c>
      <c r="BN18" s="51" t="s">
        <v>431</v>
      </c>
      <c r="BO18" s="140" t="s">
        <v>431</v>
      </c>
    </row>
    <row r="19" spans="1:67" x14ac:dyDescent="0.25">
      <c r="A19" s="1093"/>
      <c r="B19" s="11" t="s">
        <v>530</v>
      </c>
      <c r="C19" s="32">
        <f>'Energy Content Assumptions'!B16*2000/1000000</f>
        <v>15.6</v>
      </c>
      <c r="D19" s="32" t="s">
        <v>261</v>
      </c>
      <c r="E19" s="119"/>
      <c r="F19" s="333" t="str">
        <f>IF($F$2='Bioenergy Calculator'!$X$9,AF19,IF($F$2='Bioenergy Calculator'!$X$10,AJ19,IF($F$2='Bioenergy Calculator'!$X$11,AN19,IF($F$2='Bioenergy Calculator'!$X$12,P19,IF($F$2='Bioenergy Calculator'!$X$13,AR19,IF($F$2='Bioenergy Calculator'!$X$14,AV19,IF($F$2='Bioenergy Calculator'!$X$15,AZ19,"NA")))))))</f>
        <v>NA</v>
      </c>
      <c r="G19" s="66" t="str">
        <f>IF($F$2='Bioenergy Calculator'!$X$9,AG19,IF($F$2='Bioenergy Calculator'!$X$10,AK19,IF($F$2='Bioenergy Calculator'!$X$11,AO19,IF($F$2='Bioenergy Calculator'!$X$12,Q19,IF($F$2='Bioenergy Calculator'!$X$13,AS19,IF($F$2='Bioenergy Calculator'!$X$14,AW19,IF($F$2='Bioenergy Calculator'!$X$15,BA19,"NA")))))))</f>
        <v>NA</v>
      </c>
      <c r="H19" s="66" t="str">
        <f>IF($F$2='Bioenergy Calculator'!$X$9,AH19,IF($F$2='Bioenergy Calculator'!$X$10,AL19,IF($F$2='Bioenergy Calculator'!$X$11,AP19,IF($F$2='Bioenergy Calculator'!$X$12,R19,IF($F$2='Bioenergy Calculator'!$X$13,AT19,IF($F$2='Bioenergy Calculator'!$X$14,AX19,IF($F$2='Bioenergy Calculator'!$X$15,BB19,"NA")))))))</f>
        <v>NA</v>
      </c>
      <c r="I19" s="334" t="str">
        <f>IF($F$2='Bioenergy Calculator'!$X$9,AI19,IF($F$2='Bioenergy Calculator'!$X$10,AM19,IF($F$2='Bioenergy Calculator'!$X$11,AQ19,IF($F$2='Bioenergy Calculator'!$X$12,S19,IF($F$2='Bioenergy Calculator'!$X$13,AU19,IF($F$2='Bioenergy Calculator'!$X$14,AY19,IF($F$2='Bioenergy Calculator'!$X$15,BC19,"NA")))))))</f>
        <v>NA</v>
      </c>
      <c r="J19" s="117"/>
      <c r="K19" s="333" t="str">
        <f>IF($K$2='Bioenergy Calculator'!$X$21,X19,IF($K$2='Bioenergy Calculator'!$X$22,BH19,IF($K$2='Bioenergy Calculator'!$X$23,BD19,IF($K$2='Bioenergy Calculator'!$X$19,T19,IF($K$2='Bioenergy Calculator'!$X$20,AB19,IF($K$2='Bioenergy Calculator'!$X$24,'Conversion Tables'!BL19,"NA"))))))</f>
        <v>NA</v>
      </c>
      <c r="L19" s="66" t="str">
        <f>IF($K$2='Bioenergy Calculator'!$X$21,Y19,IF($K$2='Bioenergy Calculator'!$X$22,BI19,IF($K$2='Bioenergy Calculator'!$X$23,BE19,IF($K$2='Bioenergy Calculator'!$X$19,U19,IF($K$2='Bioenergy Calculator'!$X$20,AC19,IF($K$2='Bioenergy Calculator'!$X$24,'Conversion Tables'!BM19,"NA"))))))</f>
        <v>NA</v>
      </c>
      <c r="M19" s="66" t="str">
        <f>IF($K$2='Bioenergy Calculator'!$X$21,Z19,IF($K$2='Bioenergy Calculator'!$X$22,BJ19,IF($K$2='Bioenergy Calculator'!$X$23,BF19,IF($K$2='Bioenergy Calculator'!$X$19,V19,IF($K$2='Bioenergy Calculator'!$X$20,AD19,IF($K$2='Bioenergy Calculator'!$X$24,'Conversion Tables'!BN19,"NA"))))))</f>
        <v>NA</v>
      </c>
      <c r="N19" s="334" t="str">
        <f>IF($K$2='Bioenergy Calculator'!$X$21,AA19,IF($K$2='Bioenergy Calculator'!$X$22,BK19,IF($K$2='Bioenergy Calculator'!$X$23,BG19,IF($K$2='Bioenergy Calculator'!$X$19,W19,IF($K$2='Bioenergy Calculator'!$X$20,AE19,IF($K$2='Bioenergy Calculator'!$X$24,'Conversion Tables'!BO19,"NA"))))))</f>
        <v>NA</v>
      </c>
      <c r="O19" s="84"/>
      <c r="P19" s="68" t="s">
        <v>431</v>
      </c>
      <c r="Q19" s="51" t="s">
        <v>431</v>
      </c>
      <c r="R19" s="51" t="s">
        <v>431</v>
      </c>
      <c r="S19" s="65" t="s">
        <v>431</v>
      </c>
      <c r="T19" s="51" t="s">
        <v>431</v>
      </c>
      <c r="U19" s="51" t="s">
        <v>431</v>
      </c>
      <c r="V19" s="51" t="s">
        <v>431</v>
      </c>
      <c r="W19" s="65" t="s">
        <v>431</v>
      </c>
      <c r="X19" s="252">
        <f>'Fuel Yields Eth. and DA Hydrol.'!I15</f>
        <v>69.44274809160305</v>
      </c>
      <c r="Y19" s="252">
        <f>'Fuel Yields Eth. and DA Hydrol.'!J15</f>
        <v>83.311092271623536</v>
      </c>
      <c r="Z19" s="252">
        <f>'Fuel Yields Eth. and DA Hydrol.'!K15</f>
        <v>95.212676881855472</v>
      </c>
      <c r="AA19" s="255">
        <f>'Fuel Yields Eth. and DA Hydrol.'!L15</f>
        <v>107.11426149208741</v>
      </c>
      <c r="AB19" s="51" t="s">
        <v>431</v>
      </c>
      <c r="AC19" s="51" t="s">
        <v>431</v>
      </c>
      <c r="AD19" s="51" t="s">
        <v>431</v>
      </c>
      <c r="AE19" s="65" t="s">
        <v>431</v>
      </c>
      <c r="AF19" s="668">
        <f>('Energy Content Assumptions'!$B$69/'Technology Assumptions'!B$4)/1000</f>
        <v>13.648</v>
      </c>
      <c r="AG19" s="66">
        <f>('Energy Content Assumptions'!$B$69/'Technology Assumptions'!C$4)/1000</f>
        <v>13.648</v>
      </c>
      <c r="AH19" s="66">
        <f>('Energy Content Assumptions'!$B$69/'Technology Assumptions'!D$4)/1000</f>
        <v>13.648</v>
      </c>
      <c r="AI19" s="69">
        <f>('Energy Content Assumptions'!$B$69/'Technology Assumptions'!E$4)/1000</f>
        <v>13.648</v>
      </c>
      <c r="AJ19" s="66" t="s">
        <v>431</v>
      </c>
      <c r="AK19" s="66" t="s">
        <v>431</v>
      </c>
      <c r="AL19" s="66" t="s">
        <v>431</v>
      </c>
      <c r="AM19" s="69" t="s">
        <v>431</v>
      </c>
      <c r="AN19" s="66">
        <f>('Energy Content Assumptions'!$B$69/'Technology Assumptions'!B$7)/1000</f>
        <v>8.7487179487179496</v>
      </c>
      <c r="AO19" s="66">
        <f>('Energy Content Assumptions'!$B$69/'Technology Assumptions'!C$7)/1000</f>
        <v>8.7487179487179496</v>
      </c>
      <c r="AP19" s="66">
        <f>('Energy Content Assumptions'!$B$69/'Technology Assumptions'!D$7)/1000</f>
        <v>8.7487179487179496</v>
      </c>
      <c r="AQ19" s="69">
        <f>('Energy Content Assumptions'!$B$69/'Technology Assumptions'!E$7)/1000</f>
        <v>8.7487179487179496</v>
      </c>
      <c r="AR19" s="66">
        <f>('Energy Content Assumptions'!$B$69/'Technology Assumptions'!B$6)/1000</f>
        <v>9.7485714285714291</v>
      </c>
      <c r="AS19" s="66">
        <f>('Energy Content Assumptions'!$B$69/'Technology Assumptions'!C$6)/1000</f>
        <v>9.7485714285714291</v>
      </c>
      <c r="AT19" s="66">
        <f>('Energy Content Assumptions'!$B$69/'Technology Assumptions'!D$6)/1000</f>
        <v>9.7485714285714291</v>
      </c>
      <c r="AU19" s="69">
        <f>('Energy Content Assumptions'!$B$69/'Technology Assumptions'!E$6)/1000</f>
        <v>9.7485714285714291</v>
      </c>
      <c r="AV19" s="51" t="s">
        <v>431</v>
      </c>
      <c r="AW19" s="51" t="s">
        <v>431</v>
      </c>
      <c r="AX19" s="51" t="s">
        <v>431</v>
      </c>
      <c r="AY19" s="65" t="s">
        <v>431</v>
      </c>
      <c r="AZ19" s="88">
        <f>('Energy Content Assumptions'!$B$69/'Technology Assumptions'!B$11)/1000</f>
        <v>18.052910052910054</v>
      </c>
      <c r="BA19" s="88">
        <f>('Energy Content Assumptions'!$B$69/'Technology Assumptions'!C$11)/1000</f>
        <v>18.052910052910054</v>
      </c>
      <c r="BB19" s="88">
        <f>('Energy Content Assumptions'!$B$69/'Technology Assumptions'!D$11)/1000</f>
        <v>18.052910052910054</v>
      </c>
      <c r="BC19" s="89">
        <f>('Energy Content Assumptions'!$B$69/'Technology Assumptions'!E$11)/1000</f>
        <v>18.052910052910054</v>
      </c>
      <c r="BD19" s="316">
        <f>'Technology Assumptions'!B$28</f>
        <v>41.4</v>
      </c>
      <c r="BE19" s="316">
        <f>'Technology Assumptions'!C$28</f>
        <v>41.4</v>
      </c>
      <c r="BF19" s="316">
        <f>'Technology Assumptions'!D$28</f>
        <v>41.4</v>
      </c>
      <c r="BG19" s="326">
        <f>'Technology Assumptions'!E$28</f>
        <v>41.4</v>
      </c>
      <c r="BH19" s="252">
        <f>'Fuel Yields Eth. and DA Hydrol.'!$F$15</f>
        <v>71.417203698514982</v>
      </c>
      <c r="BI19" s="252">
        <f>'Fuel Yields Eth. and DA Hydrol.'!$F$15</f>
        <v>71.417203698514982</v>
      </c>
      <c r="BJ19" s="252">
        <f>'Fuel Yields Eth. and DA Hydrol.'!$F$15</f>
        <v>71.417203698514982</v>
      </c>
      <c r="BK19" s="255">
        <f>'Fuel Yields Eth. and DA Hydrol.'!$F$15</f>
        <v>71.417203698514982</v>
      </c>
      <c r="BL19" s="51" t="s">
        <v>431</v>
      </c>
      <c r="BM19" s="51" t="s">
        <v>431</v>
      </c>
      <c r="BN19" s="51" t="s">
        <v>431</v>
      </c>
      <c r="BO19" s="140" t="s">
        <v>431</v>
      </c>
    </row>
    <row r="20" spans="1:67" x14ac:dyDescent="0.25">
      <c r="A20" s="1093"/>
      <c r="B20" s="11" t="s">
        <v>522</v>
      </c>
      <c r="C20" s="32">
        <f>'Energy Content Assumptions'!B17*2000/1000000</f>
        <v>14.962</v>
      </c>
      <c r="D20" s="32" t="s">
        <v>261</v>
      </c>
      <c r="E20" s="119"/>
      <c r="F20" s="333" t="str">
        <f>IF($F$2='Bioenergy Calculator'!$X$9,AF20,IF($F$2='Bioenergy Calculator'!$X$10,AJ20,IF($F$2='Bioenergy Calculator'!$X$11,AN20,IF($F$2='Bioenergy Calculator'!$X$12,P20,IF($F$2='Bioenergy Calculator'!$X$13,AR20,IF($F$2='Bioenergy Calculator'!$X$14,AV20,IF($F$2='Bioenergy Calculator'!$X$15,AZ20,"NA")))))))</f>
        <v>NA</v>
      </c>
      <c r="G20" s="66" t="str">
        <f>IF($F$2='Bioenergy Calculator'!$X$9,AG20,IF($F$2='Bioenergy Calculator'!$X$10,AK20,IF($F$2='Bioenergy Calculator'!$X$11,AO20,IF($F$2='Bioenergy Calculator'!$X$12,Q20,IF($F$2='Bioenergy Calculator'!$X$13,AS20,IF($F$2='Bioenergy Calculator'!$X$14,AW20,IF($F$2='Bioenergy Calculator'!$X$15,BA20,"NA")))))))</f>
        <v>NA</v>
      </c>
      <c r="H20" s="66" t="str">
        <f>IF($F$2='Bioenergy Calculator'!$X$9,AH20,IF($F$2='Bioenergy Calculator'!$X$10,AL20,IF($F$2='Bioenergy Calculator'!$X$11,AP20,IF($F$2='Bioenergy Calculator'!$X$12,R20,IF($F$2='Bioenergy Calculator'!$X$13,AT20,IF($F$2='Bioenergy Calculator'!$X$14,AX20,IF($F$2='Bioenergy Calculator'!$X$15,BB20,"NA")))))))</f>
        <v>NA</v>
      </c>
      <c r="I20" s="334" t="str">
        <f>IF($F$2='Bioenergy Calculator'!$X$9,AI20,IF($F$2='Bioenergy Calculator'!$X$10,AM20,IF($F$2='Bioenergy Calculator'!$X$11,AQ20,IF($F$2='Bioenergy Calculator'!$X$12,S20,IF($F$2='Bioenergy Calculator'!$X$13,AU20,IF($F$2='Bioenergy Calculator'!$X$14,AY20,IF($F$2='Bioenergy Calculator'!$X$15,BC20,"NA")))))))</f>
        <v>NA</v>
      </c>
      <c r="J20" s="117"/>
      <c r="K20" s="333" t="str">
        <f>IF($K$2='Bioenergy Calculator'!$X$21,X20,IF($K$2='Bioenergy Calculator'!$X$22,BH20,IF($K$2='Bioenergy Calculator'!$X$23,BD20,IF($K$2='Bioenergy Calculator'!$X$19,T20,IF($K$2='Bioenergy Calculator'!$X$20,AB20,IF($K$2='Bioenergy Calculator'!$X$24,'Conversion Tables'!BL20,"NA"))))))</f>
        <v>NA</v>
      </c>
      <c r="L20" s="66" t="str">
        <f>IF($K$2='Bioenergy Calculator'!$X$21,Y20,IF($K$2='Bioenergy Calculator'!$X$22,BI20,IF($K$2='Bioenergy Calculator'!$X$23,BE20,IF($K$2='Bioenergy Calculator'!$X$19,U20,IF($K$2='Bioenergy Calculator'!$X$20,AC20,IF($K$2='Bioenergy Calculator'!$X$24,'Conversion Tables'!BM20,"NA"))))))</f>
        <v>NA</v>
      </c>
      <c r="M20" s="66" t="str">
        <f>IF($K$2='Bioenergy Calculator'!$X$21,Z20,IF($K$2='Bioenergy Calculator'!$X$22,BJ20,IF($K$2='Bioenergy Calculator'!$X$23,BF20,IF($K$2='Bioenergy Calculator'!$X$19,V20,IF($K$2='Bioenergy Calculator'!$X$20,AD20,IF($K$2='Bioenergy Calculator'!$X$24,'Conversion Tables'!BN20,"NA"))))))</f>
        <v>NA</v>
      </c>
      <c r="N20" s="334" t="str">
        <f>IF($K$2='Bioenergy Calculator'!$X$21,AA20,IF($K$2='Bioenergy Calculator'!$X$22,BK20,IF($K$2='Bioenergy Calculator'!$X$23,BG20,IF($K$2='Bioenergy Calculator'!$X$19,W20,IF($K$2='Bioenergy Calculator'!$X$20,AE20,IF($K$2='Bioenergy Calculator'!$X$24,'Conversion Tables'!BO20,"NA"))))))</f>
        <v>NA</v>
      </c>
      <c r="O20" s="84"/>
      <c r="P20" s="68" t="s">
        <v>431</v>
      </c>
      <c r="Q20" s="51" t="s">
        <v>431</v>
      </c>
      <c r="R20" s="51" t="s">
        <v>431</v>
      </c>
      <c r="S20" s="65" t="s">
        <v>431</v>
      </c>
      <c r="T20" s="51" t="s">
        <v>431</v>
      </c>
      <c r="U20" s="51" t="s">
        <v>431</v>
      </c>
      <c r="V20" s="51" t="s">
        <v>431</v>
      </c>
      <c r="W20" s="65" t="s">
        <v>431</v>
      </c>
      <c r="X20" s="252">
        <f>'Fuel Yields Eth. and DA Hydrol.'!I15</f>
        <v>69.44274809160305</v>
      </c>
      <c r="Y20" s="252">
        <f>'Fuel Yields Eth. and DA Hydrol.'!J15</f>
        <v>83.311092271623536</v>
      </c>
      <c r="Z20" s="252">
        <f>'Fuel Yields Eth. and DA Hydrol.'!K15</f>
        <v>95.212676881855472</v>
      </c>
      <c r="AA20" s="255">
        <f>'Fuel Yields Eth. and DA Hydrol.'!L15</f>
        <v>107.11426149208741</v>
      </c>
      <c r="AB20" s="51" t="s">
        <v>431</v>
      </c>
      <c r="AC20" s="51" t="s">
        <v>431</v>
      </c>
      <c r="AD20" s="51" t="s">
        <v>431</v>
      </c>
      <c r="AE20" s="65" t="s">
        <v>431</v>
      </c>
      <c r="AF20" s="668">
        <f>('Energy Content Assumptions'!$B$69/'Technology Assumptions'!B$4)/1000</f>
        <v>13.648</v>
      </c>
      <c r="AG20" s="66">
        <f>('Energy Content Assumptions'!$B$69/'Technology Assumptions'!C$4)/1000</f>
        <v>13.648</v>
      </c>
      <c r="AH20" s="66">
        <f>('Energy Content Assumptions'!$B$69/'Technology Assumptions'!D$4)/1000</f>
        <v>13.648</v>
      </c>
      <c r="AI20" s="69">
        <f>('Energy Content Assumptions'!$B$69/'Technology Assumptions'!E$4)/1000</f>
        <v>13.648</v>
      </c>
      <c r="AJ20" s="66" t="s">
        <v>431</v>
      </c>
      <c r="AK20" s="66" t="s">
        <v>431</v>
      </c>
      <c r="AL20" s="66" t="s">
        <v>431</v>
      </c>
      <c r="AM20" s="69" t="s">
        <v>431</v>
      </c>
      <c r="AN20" s="66">
        <f>('Energy Content Assumptions'!$B$69/'Technology Assumptions'!B$7)/1000</f>
        <v>8.7487179487179496</v>
      </c>
      <c r="AO20" s="66">
        <f>('Energy Content Assumptions'!$B$69/'Technology Assumptions'!C$7)/1000</f>
        <v>8.7487179487179496</v>
      </c>
      <c r="AP20" s="66">
        <f>('Energy Content Assumptions'!$B$69/'Technology Assumptions'!D$7)/1000</f>
        <v>8.7487179487179496</v>
      </c>
      <c r="AQ20" s="69">
        <f>('Energy Content Assumptions'!$B$69/'Technology Assumptions'!E$7)/1000</f>
        <v>8.7487179487179496</v>
      </c>
      <c r="AR20" s="66">
        <f>('Energy Content Assumptions'!$B$69/'Technology Assumptions'!B$6)/1000</f>
        <v>9.7485714285714291</v>
      </c>
      <c r="AS20" s="66">
        <f>('Energy Content Assumptions'!$B$69/'Technology Assumptions'!C$6)/1000</f>
        <v>9.7485714285714291</v>
      </c>
      <c r="AT20" s="66">
        <f>('Energy Content Assumptions'!$B$69/'Technology Assumptions'!D$6)/1000</f>
        <v>9.7485714285714291</v>
      </c>
      <c r="AU20" s="69">
        <f>('Energy Content Assumptions'!$B$69/'Technology Assumptions'!E$6)/1000</f>
        <v>9.7485714285714291</v>
      </c>
      <c r="AV20" s="51" t="s">
        <v>431</v>
      </c>
      <c r="AW20" s="51" t="s">
        <v>431</v>
      </c>
      <c r="AX20" s="51" t="s">
        <v>431</v>
      </c>
      <c r="AY20" s="65" t="s">
        <v>431</v>
      </c>
      <c r="AZ20" s="88">
        <f>('Energy Content Assumptions'!$B$69/'Technology Assumptions'!B$11)/1000</f>
        <v>18.052910052910054</v>
      </c>
      <c r="BA20" s="88">
        <f>('Energy Content Assumptions'!$B$69/'Technology Assumptions'!C$11)/1000</f>
        <v>18.052910052910054</v>
      </c>
      <c r="BB20" s="88">
        <f>('Energy Content Assumptions'!$B$69/'Technology Assumptions'!D$11)/1000</f>
        <v>18.052910052910054</v>
      </c>
      <c r="BC20" s="89">
        <f>('Energy Content Assumptions'!$B$69/'Technology Assumptions'!E$11)/1000</f>
        <v>18.052910052910054</v>
      </c>
      <c r="BD20" s="316">
        <f>'Technology Assumptions'!B$28</f>
        <v>41.4</v>
      </c>
      <c r="BE20" s="316">
        <f>'Technology Assumptions'!C$28</f>
        <v>41.4</v>
      </c>
      <c r="BF20" s="316">
        <f>'Technology Assumptions'!D$28</f>
        <v>41.4</v>
      </c>
      <c r="BG20" s="326">
        <f>'Technology Assumptions'!E$28</f>
        <v>41.4</v>
      </c>
      <c r="BH20" s="252">
        <f>'Fuel Yields Eth. and DA Hydrol.'!$F$15</f>
        <v>71.417203698514982</v>
      </c>
      <c r="BI20" s="252">
        <f>'Fuel Yields Eth. and DA Hydrol.'!$F$15</f>
        <v>71.417203698514982</v>
      </c>
      <c r="BJ20" s="252">
        <f>'Fuel Yields Eth. and DA Hydrol.'!$F$15</f>
        <v>71.417203698514982</v>
      </c>
      <c r="BK20" s="255">
        <f>'Fuel Yields Eth. and DA Hydrol.'!$F$15</f>
        <v>71.417203698514982</v>
      </c>
      <c r="BL20" s="51" t="s">
        <v>431</v>
      </c>
      <c r="BM20" s="51" t="s">
        <v>431</v>
      </c>
      <c r="BN20" s="51" t="s">
        <v>431</v>
      </c>
      <c r="BO20" s="140" t="s">
        <v>431</v>
      </c>
    </row>
    <row r="21" spans="1:67" x14ac:dyDescent="0.25">
      <c r="A21" s="1093"/>
      <c r="B21" s="148" t="s">
        <v>205</v>
      </c>
      <c r="C21" s="32">
        <f>'Energy Content Assumptions'!B18*2000/1000000</f>
        <v>15.6</v>
      </c>
      <c r="D21" s="32" t="s">
        <v>261</v>
      </c>
      <c r="E21" s="119"/>
      <c r="F21" s="333" t="str">
        <f>IF($F$2='Bioenergy Calculator'!$X$9,AF21,IF($F$2='Bioenergy Calculator'!$X$10,AJ21,IF($F$2='Bioenergy Calculator'!$X$11,AN21,IF($F$2='Bioenergy Calculator'!$X$12,P21,IF($F$2='Bioenergy Calculator'!$X$13,AR21,IF($F$2='Bioenergy Calculator'!$X$14,AV21,IF($F$2='Bioenergy Calculator'!$X$15,AZ21,"NA")))))))</f>
        <v>NA</v>
      </c>
      <c r="G21" s="66" t="str">
        <f>IF($F$2='Bioenergy Calculator'!$X$9,AG21,IF($F$2='Bioenergy Calculator'!$X$10,AK21,IF($F$2='Bioenergy Calculator'!$X$11,AO21,IF($F$2='Bioenergy Calculator'!$X$12,Q21,IF($F$2='Bioenergy Calculator'!$X$13,AS21,IF($F$2='Bioenergy Calculator'!$X$14,AW21,IF($F$2='Bioenergy Calculator'!$X$15,BA21,"NA")))))))</f>
        <v>NA</v>
      </c>
      <c r="H21" s="66" t="str">
        <f>IF($F$2='Bioenergy Calculator'!$X$9,AH21,IF($F$2='Bioenergy Calculator'!$X$10,AL21,IF($F$2='Bioenergy Calculator'!$X$11,AP21,IF($F$2='Bioenergy Calculator'!$X$12,R21,IF($F$2='Bioenergy Calculator'!$X$13,AT21,IF($F$2='Bioenergy Calculator'!$X$14,AX21,IF($F$2='Bioenergy Calculator'!$X$15,BB21,"NA")))))))</f>
        <v>NA</v>
      </c>
      <c r="I21" s="334" t="str">
        <f>IF($F$2='Bioenergy Calculator'!$X$9,AI21,IF($F$2='Bioenergy Calculator'!$X$10,AM21,IF($F$2='Bioenergy Calculator'!$X$11,AQ21,IF($F$2='Bioenergy Calculator'!$X$12,S21,IF($F$2='Bioenergy Calculator'!$X$13,AU21,IF($F$2='Bioenergy Calculator'!$X$14,AY21,IF($F$2='Bioenergy Calculator'!$X$15,BC21,"NA")))))))</f>
        <v>NA</v>
      </c>
      <c r="J21" s="117"/>
      <c r="K21" s="333" t="str">
        <f>IF($K$2='Bioenergy Calculator'!$X$21,X21,IF($K$2='Bioenergy Calculator'!$X$22,BH21,IF($K$2='Bioenergy Calculator'!$X$23,BD21,IF($K$2='Bioenergy Calculator'!$X$19,T21,IF($K$2='Bioenergy Calculator'!$X$20,AB21,IF($K$2='Bioenergy Calculator'!$X$24,'Conversion Tables'!BL21,"NA"))))))</f>
        <v>NA</v>
      </c>
      <c r="L21" s="66" t="str">
        <f>IF($K$2='Bioenergy Calculator'!$X$21,Y21,IF($K$2='Bioenergy Calculator'!$X$22,BI21,IF($K$2='Bioenergy Calculator'!$X$23,BE21,IF($K$2='Bioenergy Calculator'!$X$19,U21,IF($K$2='Bioenergy Calculator'!$X$20,AC21,IF($K$2='Bioenergy Calculator'!$X$24,'Conversion Tables'!BM21,"NA"))))))</f>
        <v>NA</v>
      </c>
      <c r="M21" s="66" t="str">
        <f>IF($K$2='Bioenergy Calculator'!$X$21,Z21,IF($K$2='Bioenergy Calculator'!$X$22,BJ21,IF($K$2='Bioenergy Calculator'!$X$23,BF21,IF($K$2='Bioenergy Calculator'!$X$19,V21,IF($K$2='Bioenergy Calculator'!$X$20,AD21,IF($K$2='Bioenergy Calculator'!$X$24,'Conversion Tables'!BN21,"NA"))))))</f>
        <v>NA</v>
      </c>
      <c r="N21" s="334" t="str">
        <f>IF($K$2='Bioenergy Calculator'!$X$21,AA21,IF($K$2='Bioenergy Calculator'!$X$22,BK21,IF($K$2='Bioenergy Calculator'!$X$23,BG21,IF($K$2='Bioenergy Calculator'!$X$19,W21,IF($K$2='Bioenergy Calculator'!$X$20,AE21,IF($K$2='Bioenergy Calculator'!$X$24,'Conversion Tables'!BO21,"NA"))))))</f>
        <v>NA</v>
      </c>
      <c r="O21" s="84"/>
      <c r="P21" s="68" t="s">
        <v>431</v>
      </c>
      <c r="Q21" s="51" t="s">
        <v>431</v>
      </c>
      <c r="R21" s="51" t="s">
        <v>431</v>
      </c>
      <c r="S21" s="65" t="s">
        <v>431</v>
      </c>
      <c r="T21" s="51" t="s">
        <v>431</v>
      </c>
      <c r="U21" s="51" t="s">
        <v>431</v>
      </c>
      <c r="V21" s="51" t="s">
        <v>431</v>
      </c>
      <c r="W21" s="65" t="s">
        <v>431</v>
      </c>
      <c r="X21" s="252">
        <f>'Fuel Yields Eth. and DA Hydrol.'!I15</f>
        <v>69.44274809160305</v>
      </c>
      <c r="Y21" s="252">
        <f>'Fuel Yields Eth. and DA Hydrol.'!J15</f>
        <v>83.311092271623536</v>
      </c>
      <c r="Z21" s="252">
        <f>'Fuel Yields Eth. and DA Hydrol.'!K15</f>
        <v>95.212676881855472</v>
      </c>
      <c r="AA21" s="255">
        <f>'Fuel Yields Eth. and DA Hydrol.'!L15</f>
        <v>107.11426149208741</v>
      </c>
      <c r="AB21" s="51" t="s">
        <v>431</v>
      </c>
      <c r="AC21" s="51" t="s">
        <v>431</v>
      </c>
      <c r="AD21" s="51" t="s">
        <v>431</v>
      </c>
      <c r="AE21" s="65" t="s">
        <v>431</v>
      </c>
      <c r="AF21" s="668">
        <f>('Energy Content Assumptions'!$B$69/'Technology Assumptions'!B$4)/1000</f>
        <v>13.648</v>
      </c>
      <c r="AG21" s="66">
        <f>('Energy Content Assumptions'!$B$69/'Technology Assumptions'!C$4)/1000</f>
        <v>13.648</v>
      </c>
      <c r="AH21" s="66">
        <f>('Energy Content Assumptions'!$B$69/'Technology Assumptions'!D$4)/1000</f>
        <v>13.648</v>
      </c>
      <c r="AI21" s="69">
        <f>('Energy Content Assumptions'!$B$69/'Technology Assumptions'!E$4)/1000</f>
        <v>13.648</v>
      </c>
      <c r="AJ21" s="66" t="s">
        <v>431</v>
      </c>
      <c r="AK21" s="66" t="s">
        <v>431</v>
      </c>
      <c r="AL21" s="66" t="s">
        <v>431</v>
      </c>
      <c r="AM21" s="69" t="s">
        <v>431</v>
      </c>
      <c r="AN21" s="66">
        <f>('Energy Content Assumptions'!$B$69/'Technology Assumptions'!B$7)/1000</f>
        <v>8.7487179487179496</v>
      </c>
      <c r="AO21" s="66">
        <f>('Energy Content Assumptions'!$B$69/'Technology Assumptions'!C$7)/1000</f>
        <v>8.7487179487179496</v>
      </c>
      <c r="AP21" s="66">
        <f>('Energy Content Assumptions'!$B$69/'Technology Assumptions'!D$7)/1000</f>
        <v>8.7487179487179496</v>
      </c>
      <c r="AQ21" s="69">
        <f>('Energy Content Assumptions'!$B$69/'Technology Assumptions'!E$7)/1000</f>
        <v>8.7487179487179496</v>
      </c>
      <c r="AR21" s="66">
        <f>('Energy Content Assumptions'!$B$69/'Technology Assumptions'!B$6)/1000</f>
        <v>9.7485714285714291</v>
      </c>
      <c r="AS21" s="66">
        <f>('Energy Content Assumptions'!$B$69/'Technology Assumptions'!C$6)/1000</f>
        <v>9.7485714285714291</v>
      </c>
      <c r="AT21" s="66">
        <f>('Energy Content Assumptions'!$B$69/'Technology Assumptions'!D$6)/1000</f>
        <v>9.7485714285714291</v>
      </c>
      <c r="AU21" s="69">
        <f>('Energy Content Assumptions'!$B$69/'Technology Assumptions'!E$6)/1000</f>
        <v>9.7485714285714291</v>
      </c>
      <c r="AV21" s="51" t="s">
        <v>431</v>
      </c>
      <c r="AW21" s="51" t="s">
        <v>431</v>
      </c>
      <c r="AX21" s="51" t="s">
        <v>431</v>
      </c>
      <c r="AY21" s="65" t="s">
        <v>431</v>
      </c>
      <c r="AZ21" s="88">
        <f>('Energy Content Assumptions'!$B$69/'Technology Assumptions'!B$11)/1000</f>
        <v>18.052910052910054</v>
      </c>
      <c r="BA21" s="88">
        <f>('Energy Content Assumptions'!$B$69/'Technology Assumptions'!C$11)/1000</f>
        <v>18.052910052910054</v>
      </c>
      <c r="BB21" s="88">
        <f>('Energy Content Assumptions'!$B$69/'Technology Assumptions'!D$11)/1000</f>
        <v>18.052910052910054</v>
      </c>
      <c r="BC21" s="89">
        <f>('Energy Content Assumptions'!$B$69/'Technology Assumptions'!E$11)/1000</f>
        <v>18.052910052910054</v>
      </c>
      <c r="BD21" s="316">
        <f>'Technology Assumptions'!B$28</f>
        <v>41.4</v>
      </c>
      <c r="BE21" s="316">
        <f>'Technology Assumptions'!C$28</f>
        <v>41.4</v>
      </c>
      <c r="BF21" s="316">
        <f>'Technology Assumptions'!D$28</f>
        <v>41.4</v>
      </c>
      <c r="BG21" s="326">
        <f>'Technology Assumptions'!E$28</f>
        <v>41.4</v>
      </c>
      <c r="BH21" s="252">
        <f>'Fuel Yields Eth. and DA Hydrol.'!$F$15</f>
        <v>71.417203698514982</v>
      </c>
      <c r="BI21" s="252">
        <f>'Fuel Yields Eth. and DA Hydrol.'!$F$15</f>
        <v>71.417203698514982</v>
      </c>
      <c r="BJ21" s="252">
        <f>'Fuel Yields Eth. and DA Hydrol.'!$F$15</f>
        <v>71.417203698514982</v>
      </c>
      <c r="BK21" s="255">
        <f>'Fuel Yields Eth. and DA Hydrol.'!$F$15</f>
        <v>71.417203698514982</v>
      </c>
      <c r="BL21" s="51" t="s">
        <v>431</v>
      </c>
      <c r="BM21" s="51" t="s">
        <v>431</v>
      </c>
      <c r="BN21" s="51" t="s">
        <v>431</v>
      </c>
      <c r="BO21" s="140" t="s">
        <v>431</v>
      </c>
    </row>
    <row r="22" spans="1:67" x14ac:dyDescent="0.25">
      <c r="A22" s="1093"/>
      <c r="B22" s="2" t="s">
        <v>302</v>
      </c>
      <c r="C22" s="32">
        <f>'Energy Content Assumptions'!B19*2000/1000000</f>
        <v>16.335999999999999</v>
      </c>
      <c r="D22" s="32" t="s">
        <v>261</v>
      </c>
      <c r="E22" s="119"/>
      <c r="F22" s="333" t="str">
        <f>IF($F$2='Bioenergy Calculator'!$X$9,AF22,IF($F$2='Bioenergy Calculator'!$X$10,AJ22,IF($F$2='Bioenergy Calculator'!$X$11,AN22,IF($F$2='Bioenergy Calculator'!$X$12,P22,IF($F$2='Bioenergy Calculator'!$X$13,AR22,IF($F$2='Bioenergy Calculator'!$X$14,AV22,IF($F$2='Bioenergy Calculator'!$X$15,AZ22,"NA")))))))</f>
        <v>NA</v>
      </c>
      <c r="G22" s="66" t="str">
        <f>IF($F$2='Bioenergy Calculator'!$X$9,AG22,IF($F$2='Bioenergy Calculator'!$X$10,AK22,IF($F$2='Bioenergy Calculator'!$X$11,AO22,IF($F$2='Bioenergy Calculator'!$X$12,Q22,IF($F$2='Bioenergy Calculator'!$X$13,AS22,IF($F$2='Bioenergy Calculator'!$X$14,AW22,IF($F$2='Bioenergy Calculator'!$X$15,BA22,"NA")))))))</f>
        <v>NA</v>
      </c>
      <c r="H22" s="66" t="str">
        <f>IF($F$2='Bioenergy Calculator'!$X$9,AH22,IF($F$2='Bioenergy Calculator'!$X$10,AL22,IF($F$2='Bioenergy Calculator'!$X$11,AP22,IF($F$2='Bioenergy Calculator'!$X$12,R22,IF($F$2='Bioenergy Calculator'!$X$13,AT22,IF($F$2='Bioenergy Calculator'!$X$14,AX22,IF($F$2='Bioenergy Calculator'!$X$15,BB22,"NA")))))))</f>
        <v>NA</v>
      </c>
      <c r="I22" s="334" t="str">
        <f>IF($F$2='Bioenergy Calculator'!$X$9,AI22,IF($F$2='Bioenergy Calculator'!$X$10,AM22,IF($F$2='Bioenergy Calculator'!$X$11,AQ22,IF($F$2='Bioenergy Calculator'!$X$12,S22,IF($F$2='Bioenergy Calculator'!$X$13,AU22,IF($F$2='Bioenergy Calculator'!$X$14,AY22,IF($F$2='Bioenergy Calculator'!$X$15,BC22,"NA")))))))</f>
        <v>NA</v>
      </c>
      <c r="J22" s="117"/>
      <c r="K22" s="333" t="str">
        <f>IF($K$2='Bioenergy Calculator'!$X$21,X22,IF($K$2='Bioenergy Calculator'!$X$22,BH22,IF($K$2='Bioenergy Calculator'!$X$23,BD22,IF($K$2='Bioenergy Calculator'!$X$19,T22,IF($K$2='Bioenergy Calculator'!$X$20,AB22,IF($K$2='Bioenergy Calculator'!$X$24,'Conversion Tables'!BL22,"NA"))))))</f>
        <v>NA</v>
      </c>
      <c r="L22" s="66" t="str">
        <f>IF($K$2='Bioenergy Calculator'!$X$21,Y22,IF($K$2='Bioenergy Calculator'!$X$22,BI22,IF($K$2='Bioenergy Calculator'!$X$23,BE22,IF($K$2='Bioenergy Calculator'!$X$19,U22,IF($K$2='Bioenergy Calculator'!$X$20,AC22,IF($K$2='Bioenergy Calculator'!$X$24,'Conversion Tables'!BM22,"NA"))))))</f>
        <v>NA</v>
      </c>
      <c r="M22" s="66" t="str">
        <f>IF($K$2='Bioenergy Calculator'!$X$21,Z22,IF($K$2='Bioenergy Calculator'!$X$22,BJ22,IF($K$2='Bioenergy Calculator'!$X$23,BF22,IF($K$2='Bioenergy Calculator'!$X$19,V22,IF($K$2='Bioenergy Calculator'!$X$20,AD22,IF($K$2='Bioenergy Calculator'!$X$24,'Conversion Tables'!BN22,"NA"))))))</f>
        <v>NA</v>
      </c>
      <c r="N22" s="334" t="str">
        <f>IF($K$2='Bioenergy Calculator'!$X$21,AA22,IF($K$2='Bioenergy Calculator'!$X$22,BK22,IF($K$2='Bioenergy Calculator'!$X$23,BG22,IF($K$2='Bioenergy Calculator'!$X$19,W22,IF($K$2='Bioenergy Calculator'!$X$20,AE22,IF($K$2='Bioenergy Calculator'!$X$24,'Conversion Tables'!BO22,"NA"))))))</f>
        <v>NA</v>
      </c>
      <c r="O22" s="84"/>
      <c r="P22" s="68" t="s">
        <v>431</v>
      </c>
      <c r="Q22" s="51" t="s">
        <v>431</v>
      </c>
      <c r="R22" s="51" t="s">
        <v>431</v>
      </c>
      <c r="S22" s="65" t="s">
        <v>431</v>
      </c>
      <c r="T22" s="51" t="s">
        <v>431</v>
      </c>
      <c r="U22" s="51" t="s">
        <v>431</v>
      </c>
      <c r="V22" s="51" t="s">
        <v>431</v>
      </c>
      <c r="W22" s="65" t="s">
        <v>431</v>
      </c>
      <c r="X22" s="252" t="s">
        <v>431</v>
      </c>
      <c r="Y22" s="252" t="s">
        <v>431</v>
      </c>
      <c r="Z22" s="252" t="s">
        <v>431</v>
      </c>
      <c r="AA22" s="255" t="s">
        <v>431</v>
      </c>
      <c r="AB22" s="51" t="s">
        <v>431</v>
      </c>
      <c r="AC22" s="51" t="s">
        <v>431</v>
      </c>
      <c r="AD22" s="51" t="s">
        <v>431</v>
      </c>
      <c r="AE22" s="65" t="s">
        <v>431</v>
      </c>
      <c r="AF22" s="668">
        <f>('Energy Content Assumptions'!$B$69/'Technology Assumptions'!B$4)/1000</f>
        <v>13.648</v>
      </c>
      <c r="AG22" s="66">
        <f>('Energy Content Assumptions'!$B$69/'Technology Assumptions'!C$4)/1000</f>
        <v>13.648</v>
      </c>
      <c r="AH22" s="66">
        <f>('Energy Content Assumptions'!$B$69/'Technology Assumptions'!D$4)/1000</f>
        <v>13.648</v>
      </c>
      <c r="AI22" s="69">
        <f>('Energy Content Assumptions'!$B$69/'Technology Assumptions'!E$4)/1000</f>
        <v>13.648</v>
      </c>
      <c r="AJ22" s="66">
        <f>('Energy Content Assumptions'!$B$69/'Technology Assumptions'!B$5)/1000</f>
        <v>14.216666666666669</v>
      </c>
      <c r="AK22" s="66">
        <f>('Energy Content Assumptions'!$B$69/'Technology Assumptions'!C$5)/1000</f>
        <v>14.216666666666669</v>
      </c>
      <c r="AL22" s="66">
        <f>('Energy Content Assumptions'!$B$69/'Technology Assumptions'!D$5)/1000</f>
        <v>14.216666666666669</v>
      </c>
      <c r="AM22" s="69">
        <f>('Energy Content Assumptions'!$B$69/'Technology Assumptions'!E$5)/1000</f>
        <v>14.216666666666669</v>
      </c>
      <c r="AN22" s="66">
        <f>('Energy Content Assumptions'!$B$69/'Technology Assumptions'!B$7)/1000</f>
        <v>8.7487179487179496</v>
      </c>
      <c r="AO22" s="66">
        <f>('Energy Content Assumptions'!$B$69/'Technology Assumptions'!C$7)/1000</f>
        <v>8.7487179487179496</v>
      </c>
      <c r="AP22" s="66">
        <f>('Energy Content Assumptions'!$B$69/'Technology Assumptions'!D$7)/1000</f>
        <v>8.7487179487179496</v>
      </c>
      <c r="AQ22" s="69">
        <f>('Energy Content Assumptions'!$B$69/'Technology Assumptions'!E$7)/1000</f>
        <v>8.7487179487179496</v>
      </c>
      <c r="AR22" s="66">
        <f>('Energy Content Assumptions'!$B$69/'Technology Assumptions'!B$6)/1000</f>
        <v>9.7485714285714291</v>
      </c>
      <c r="AS22" s="66">
        <f>('Energy Content Assumptions'!$B$69/'Technology Assumptions'!C$6)/1000</f>
        <v>9.7485714285714291</v>
      </c>
      <c r="AT22" s="66">
        <f>('Energy Content Assumptions'!$B$69/'Technology Assumptions'!D$6)/1000</f>
        <v>9.7485714285714291</v>
      </c>
      <c r="AU22" s="69">
        <f>('Energy Content Assumptions'!$B$69/'Technology Assumptions'!E$6)/1000</f>
        <v>9.7485714285714291</v>
      </c>
      <c r="AV22" s="78">
        <f>('Energy Content Assumptions'!$B$69/'Technology Assumptions'!B$12)/1000</f>
        <v>16.247619047619047</v>
      </c>
      <c r="AW22" s="78">
        <f>('Energy Content Assumptions'!$B$69/'Technology Assumptions'!C$12)/1000</f>
        <v>16.247619047619047</v>
      </c>
      <c r="AX22" s="78">
        <f>('Energy Content Assumptions'!$B$69/'Technology Assumptions'!D$12)/1000</f>
        <v>16.247619047619047</v>
      </c>
      <c r="AY22" s="79">
        <f>('Energy Content Assumptions'!$B$69/'Technology Assumptions'!E$12)/1000</f>
        <v>16.247619047619047</v>
      </c>
      <c r="AZ22" s="88">
        <f>('Energy Content Assumptions'!$B$69/'Technology Assumptions'!B$11)/1000</f>
        <v>18.052910052910054</v>
      </c>
      <c r="BA22" s="88">
        <f>('Energy Content Assumptions'!$B$69/'Technology Assumptions'!C$11)/1000</f>
        <v>18.052910052910054</v>
      </c>
      <c r="BB22" s="88">
        <f>('Energy Content Assumptions'!$B$69/'Technology Assumptions'!D$11)/1000</f>
        <v>18.052910052910054</v>
      </c>
      <c r="BC22" s="89">
        <f>('Energy Content Assumptions'!$B$69/'Technology Assumptions'!E$11)/1000</f>
        <v>18.052910052910054</v>
      </c>
      <c r="BD22" s="316">
        <f>'Technology Assumptions'!B$28</f>
        <v>41.4</v>
      </c>
      <c r="BE22" s="316">
        <f>'Technology Assumptions'!C$28</f>
        <v>41.4</v>
      </c>
      <c r="BF22" s="316">
        <f>'Technology Assumptions'!D$28</f>
        <v>41.4</v>
      </c>
      <c r="BG22" s="326">
        <f>'Technology Assumptions'!E$28</f>
        <v>41.4</v>
      </c>
      <c r="BH22" s="252">
        <f>'Fuel Yields Eth. and DA Hydrol.'!$F$15</f>
        <v>71.417203698514982</v>
      </c>
      <c r="BI22" s="252">
        <f>'Fuel Yields Eth. and DA Hydrol.'!$F$15</f>
        <v>71.417203698514982</v>
      </c>
      <c r="BJ22" s="252">
        <f>'Fuel Yields Eth. and DA Hydrol.'!$F$15</f>
        <v>71.417203698514982</v>
      </c>
      <c r="BK22" s="255">
        <f>'Fuel Yields Eth. and DA Hydrol.'!$F$15</f>
        <v>71.417203698514982</v>
      </c>
      <c r="BL22" s="51" t="s">
        <v>431</v>
      </c>
      <c r="BM22" s="51" t="s">
        <v>431</v>
      </c>
      <c r="BN22" s="51" t="s">
        <v>431</v>
      </c>
      <c r="BO22" s="140" t="s">
        <v>431</v>
      </c>
    </row>
    <row r="23" spans="1:67" x14ac:dyDescent="0.25">
      <c r="A23" s="1093"/>
      <c r="B23" s="1" t="s">
        <v>518</v>
      </c>
      <c r="C23" s="51"/>
      <c r="D23" s="51"/>
      <c r="E23" s="84"/>
      <c r="F23" s="333"/>
      <c r="G23" s="66"/>
      <c r="H23" s="66"/>
      <c r="I23" s="334"/>
      <c r="J23" s="117"/>
      <c r="K23" s="333"/>
      <c r="L23" s="66"/>
      <c r="M23" s="66"/>
      <c r="N23" s="334"/>
      <c r="O23" s="84"/>
      <c r="P23" s="68"/>
      <c r="Q23" s="51"/>
      <c r="R23" s="51"/>
      <c r="S23" s="65"/>
      <c r="T23" s="51"/>
      <c r="U23" s="51"/>
      <c r="V23" s="51"/>
      <c r="W23" s="65"/>
      <c r="X23" s="252"/>
      <c r="Y23" s="252"/>
      <c r="Z23" s="252"/>
      <c r="AA23" s="255"/>
      <c r="AB23" s="51"/>
      <c r="AC23" s="51"/>
      <c r="AD23" s="51"/>
      <c r="AE23" s="65"/>
      <c r="AF23" s="68"/>
      <c r="AG23" s="51"/>
      <c r="AH23" s="51"/>
      <c r="AI23" s="65"/>
      <c r="AJ23" s="51"/>
      <c r="AK23" s="51"/>
      <c r="AL23" s="51"/>
      <c r="AM23" s="65"/>
      <c r="AN23" s="66"/>
      <c r="AO23" s="66"/>
      <c r="AP23" s="66"/>
      <c r="AQ23" s="69"/>
      <c r="AR23" s="51"/>
      <c r="AS23" s="51"/>
      <c r="AT23" s="51"/>
      <c r="AU23" s="65"/>
      <c r="AV23" s="74"/>
      <c r="AW23" s="74"/>
      <c r="AX23" s="74"/>
      <c r="AY23" s="75"/>
      <c r="AZ23" s="51"/>
      <c r="BA23" s="51"/>
      <c r="BB23" s="51"/>
      <c r="BC23" s="65"/>
      <c r="BD23" s="316"/>
      <c r="BE23" s="316"/>
      <c r="BF23" s="316"/>
      <c r="BG23" s="326"/>
      <c r="BH23" s="253"/>
      <c r="BI23" s="253"/>
      <c r="BJ23" s="253"/>
      <c r="BK23" s="256"/>
      <c r="BL23" s="51"/>
      <c r="BM23" s="51"/>
      <c r="BN23" s="51"/>
      <c r="BO23" s="140"/>
    </row>
    <row r="24" spans="1:67" x14ac:dyDescent="0.25">
      <c r="A24" s="1093"/>
      <c r="B24" s="11" t="s">
        <v>559</v>
      </c>
      <c r="C24" s="32">
        <f>'Energy Content Assumptions'!B21*2000/1000000</f>
        <v>17.7</v>
      </c>
      <c r="D24" s="32" t="s">
        <v>261</v>
      </c>
      <c r="E24" s="119"/>
      <c r="F24" s="333" t="str">
        <f>IF($F$2='Bioenergy Calculator'!$X$9,AF24,IF($F$2='Bioenergy Calculator'!$X$10,AJ24,IF($F$2='Bioenergy Calculator'!$X$11,AN24,IF($F$2='Bioenergy Calculator'!$X$12,P24,IF($F$2='Bioenergy Calculator'!$X$13,AR24,IF($F$2='Bioenergy Calculator'!$X$14,AV24,IF($F$2='Bioenergy Calculator'!$X$15,AZ24,"NA")))))))</f>
        <v>NA</v>
      </c>
      <c r="G24" s="66" t="str">
        <f>IF($F$2='Bioenergy Calculator'!$X$9,AG24,IF($F$2='Bioenergy Calculator'!$X$10,AK24,IF($F$2='Bioenergy Calculator'!$X$11,AO24,IF($F$2='Bioenergy Calculator'!$X$12,Q24,IF($F$2='Bioenergy Calculator'!$X$13,AS24,IF($F$2='Bioenergy Calculator'!$X$14,AW24,IF($F$2='Bioenergy Calculator'!$X$15,BA24,"NA")))))))</f>
        <v>NA</v>
      </c>
      <c r="H24" s="66" t="str">
        <f>IF($F$2='Bioenergy Calculator'!$X$9,AH24,IF($F$2='Bioenergy Calculator'!$X$10,AL24,IF($F$2='Bioenergy Calculator'!$X$11,AP24,IF($F$2='Bioenergy Calculator'!$X$12,R24,IF($F$2='Bioenergy Calculator'!$X$13,AT24,IF($F$2='Bioenergy Calculator'!$X$14,AX24,IF($F$2='Bioenergy Calculator'!$X$15,BB24,"NA")))))))</f>
        <v>NA</v>
      </c>
      <c r="I24" s="334" t="str">
        <f>IF($F$2='Bioenergy Calculator'!$X$9,AI24,IF($F$2='Bioenergy Calculator'!$X$10,AM24,IF($F$2='Bioenergy Calculator'!$X$11,AQ24,IF($F$2='Bioenergy Calculator'!$X$12,S24,IF($F$2='Bioenergy Calculator'!$X$13,AU24,IF($F$2='Bioenergy Calculator'!$X$14,AY24,IF($F$2='Bioenergy Calculator'!$X$15,BC24,"NA")))))))</f>
        <v>NA</v>
      </c>
      <c r="J24" s="117"/>
      <c r="K24" s="333" t="str">
        <f>IF($K$2='Bioenergy Calculator'!$X$21,X24,IF($K$2='Bioenergy Calculator'!$X$22,BH24,IF($K$2='Bioenergy Calculator'!$X$23,BD24,IF($K$2='Bioenergy Calculator'!$X$19,T24,IF($K$2='Bioenergy Calculator'!$X$20,AB24,IF($K$2='Bioenergy Calculator'!$X$24,'Conversion Tables'!BL24,"NA"))))))</f>
        <v>NA</v>
      </c>
      <c r="L24" s="66" t="str">
        <f>IF($K$2='Bioenergy Calculator'!$X$21,Y24,IF($K$2='Bioenergy Calculator'!$X$22,BI24,IF($K$2='Bioenergy Calculator'!$X$23,BE24,IF($K$2='Bioenergy Calculator'!$X$19,U24,IF($K$2='Bioenergy Calculator'!$X$20,AC24,IF($K$2='Bioenergy Calculator'!$X$24,'Conversion Tables'!BM24,"NA"))))))</f>
        <v>NA</v>
      </c>
      <c r="M24" s="66" t="str">
        <f>IF($K$2='Bioenergy Calculator'!$X$21,Z24,IF($K$2='Bioenergy Calculator'!$X$22,BJ24,IF($K$2='Bioenergy Calculator'!$X$23,BF24,IF($K$2='Bioenergy Calculator'!$X$19,V24,IF($K$2='Bioenergy Calculator'!$X$20,AD24,IF($K$2='Bioenergy Calculator'!$X$24,'Conversion Tables'!BN24,"NA"))))))</f>
        <v>NA</v>
      </c>
      <c r="N24" s="334" t="str">
        <f>IF($K$2='Bioenergy Calculator'!$X$21,AA24,IF($K$2='Bioenergy Calculator'!$X$22,BK24,IF($K$2='Bioenergy Calculator'!$X$23,BG24,IF($K$2='Bioenergy Calculator'!$X$19,W24,IF($K$2='Bioenergy Calculator'!$X$20,AE24,IF($K$2='Bioenergy Calculator'!$X$24,'Conversion Tables'!BO24,"NA"))))))</f>
        <v>NA</v>
      </c>
      <c r="O24" s="84"/>
      <c r="P24" s="68" t="s">
        <v>431</v>
      </c>
      <c r="Q24" s="51" t="s">
        <v>431</v>
      </c>
      <c r="R24" s="51" t="s">
        <v>431</v>
      </c>
      <c r="S24" s="65" t="s">
        <v>431</v>
      </c>
      <c r="T24" s="51" t="s">
        <v>431</v>
      </c>
      <c r="U24" s="51" t="s">
        <v>431</v>
      </c>
      <c r="V24" s="51" t="s">
        <v>431</v>
      </c>
      <c r="W24" s="65" t="s">
        <v>431</v>
      </c>
      <c r="X24" s="252">
        <f>'Fuel Yields Eth. and DA Hydrol.'!I21</f>
        <v>59.465648854961835</v>
      </c>
      <c r="Y24" s="252">
        <f>'Fuel Yields Eth. and DA Hydrol.'!J21</f>
        <v>71.341476178514611</v>
      </c>
      <c r="Z24" s="252">
        <f>'Fuel Yields Eth. and DA Hydrol.'!K21</f>
        <v>81.533115632588121</v>
      </c>
      <c r="AA24" s="255">
        <f>'Fuel Yields Eth. and DA Hydrol.'!L21</f>
        <v>91.724755086661645</v>
      </c>
      <c r="AB24" s="51" t="s">
        <v>431</v>
      </c>
      <c r="AC24" s="51" t="s">
        <v>431</v>
      </c>
      <c r="AD24" s="51" t="s">
        <v>431</v>
      </c>
      <c r="AE24" s="65" t="s">
        <v>431</v>
      </c>
      <c r="AF24" s="668">
        <f>('Energy Content Assumptions'!$B$69/'Technology Assumptions'!B$4)/1000</f>
        <v>13.648</v>
      </c>
      <c r="AG24" s="66">
        <f>('Energy Content Assumptions'!$B$69/'Technology Assumptions'!C$4)/1000</f>
        <v>13.648</v>
      </c>
      <c r="AH24" s="66">
        <f>('Energy Content Assumptions'!$B$69/'Technology Assumptions'!D$4)/1000</f>
        <v>13.648</v>
      </c>
      <c r="AI24" s="69">
        <f>('Energy Content Assumptions'!$B$69/'Technology Assumptions'!E$4)/1000</f>
        <v>13.648</v>
      </c>
      <c r="AJ24" s="66" t="s">
        <v>431</v>
      </c>
      <c r="AK24" s="66" t="s">
        <v>431</v>
      </c>
      <c r="AL24" s="66" t="s">
        <v>431</v>
      </c>
      <c r="AM24" s="69" t="s">
        <v>431</v>
      </c>
      <c r="AN24" s="66">
        <f>('Energy Content Assumptions'!$B$69/'Technology Assumptions'!B$7)/1000</f>
        <v>8.7487179487179496</v>
      </c>
      <c r="AO24" s="66">
        <f>('Energy Content Assumptions'!$B$69/'Technology Assumptions'!C$7)/1000</f>
        <v>8.7487179487179496</v>
      </c>
      <c r="AP24" s="66">
        <f>('Energy Content Assumptions'!$B$69/'Technology Assumptions'!D$7)/1000</f>
        <v>8.7487179487179496</v>
      </c>
      <c r="AQ24" s="69">
        <f>('Energy Content Assumptions'!$B$69/'Technology Assumptions'!E$7)/1000</f>
        <v>8.7487179487179496</v>
      </c>
      <c r="AR24" s="66">
        <f>('Energy Content Assumptions'!$B$69/'Technology Assumptions'!B$6)/1000</f>
        <v>9.7485714285714291</v>
      </c>
      <c r="AS24" s="66">
        <f>('Energy Content Assumptions'!$B$69/'Technology Assumptions'!C$6)/1000</f>
        <v>9.7485714285714291</v>
      </c>
      <c r="AT24" s="66">
        <f>('Energy Content Assumptions'!$B$69/'Technology Assumptions'!D$6)/1000</f>
        <v>9.7485714285714291</v>
      </c>
      <c r="AU24" s="69">
        <f>('Energy Content Assumptions'!$B$69/'Technology Assumptions'!E$6)/1000</f>
        <v>9.7485714285714291</v>
      </c>
      <c r="AV24" s="51" t="s">
        <v>431</v>
      </c>
      <c r="AW24" s="51" t="s">
        <v>431</v>
      </c>
      <c r="AX24" s="51" t="s">
        <v>431</v>
      </c>
      <c r="AY24" s="65" t="s">
        <v>431</v>
      </c>
      <c r="AZ24" s="88">
        <f>('Energy Content Assumptions'!$B$69/'Technology Assumptions'!B$11)/1000</f>
        <v>18.052910052910054</v>
      </c>
      <c r="BA24" s="88">
        <f>('Energy Content Assumptions'!$B$69/'Technology Assumptions'!C$11)/1000</f>
        <v>18.052910052910054</v>
      </c>
      <c r="BB24" s="88">
        <f>('Energy Content Assumptions'!$B$69/'Technology Assumptions'!D$11)/1000</f>
        <v>18.052910052910054</v>
      </c>
      <c r="BC24" s="89">
        <f>('Energy Content Assumptions'!$B$69/'Technology Assumptions'!E$11)/1000</f>
        <v>18.052910052910054</v>
      </c>
      <c r="BD24" s="316">
        <f>'Technology Assumptions'!B$27</f>
        <v>45.6</v>
      </c>
      <c r="BE24" s="316">
        <f>'Technology Assumptions'!C$27</f>
        <v>45.6</v>
      </c>
      <c r="BF24" s="316">
        <f>'Technology Assumptions'!D$27</f>
        <v>45.6</v>
      </c>
      <c r="BG24" s="326">
        <f>'Technology Assumptions'!E$27</f>
        <v>45.6</v>
      </c>
      <c r="BH24" s="252">
        <f>'Fuel Yields Eth. and DA Hydrol.'!$F$21</f>
        <v>65.788736340711679</v>
      </c>
      <c r="BI24" s="252">
        <f>'Fuel Yields Eth. and DA Hydrol.'!$F$21</f>
        <v>65.788736340711679</v>
      </c>
      <c r="BJ24" s="252">
        <f>'Fuel Yields Eth. and DA Hydrol.'!$F$21</f>
        <v>65.788736340711679</v>
      </c>
      <c r="BK24" s="255">
        <f>'Fuel Yields Eth. and DA Hydrol.'!$F$21</f>
        <v>65.788736340711679</v>
      </c>
      <c r="BL24" s="51" t="s">
        <v>431</v>
      </c>
      <c r="BM24" s="51" t="s">
        <v>431</v>
      </c>
      <c r="BN24" s="51" t="s">
        <v>431</v>
      </c>
      <c r="BO24" s="140" t="s">
        <v>431</v>
      </c>
    </row>
    <row r="25" spans="1:67" x14ac:dyDescent="0.25">
      <c r="A25" s="1093"/>
      <c r="B25" s="11" t="s">
        <v>560</v>
      </c>
      <c r="C25" s="32">
        <f>'Energy Content Assumptions'!B22*2000/1000000</f>
        <v>15.6</v>
      </c>
      <c r="D25" s="32" t="s">
        <v>261</v>
      </c>
      <c r="E25" s="119"/>
      <c r="F25" s="333" t="str">
        <f>IF($F$2='Bioenergy Calculator'!$X$9,AF25,IF($F$2='Bioenergy Calculator'!$X$10,AJ25,IF($F$2='Bioenergy Calculator'!$X$11,AN25,IF($F$2='Bioenergy Calculator'!$X$12,P25,IF($F$2='Bioenergy Calculator'!$X$13,AR25,IF($F$2='Bioenergy Calculator'!$X$14,AV25,IF($F$2='Bioenergy Calculator'!$X$15,AZ25,"NA")))))))</f>
        <v>NA</v>
      </c>
      <c r="G25" s="66" t="str">
        <f>IF($F$2='Bioenergy Calculator'!$X$9,AG25,IF($F$2='Bioenergy Calculator'!$X$10,AK25,IF($F$2='Bioenergy Calculator'!$X$11,AO25,IF($F$2='Bioenergy Calculator'!$X$12,Q25,IF($F$2='Bioenergy Calculator'!$X$13,AS25,IF($F$2='Bioenergy Calculator'!$X$14,AW25,IF($F$2='Bioenergy Calculator'!$X$15,BA25,"NA")))))))</f>
        <v>NA</v>
      </c>
      <c r="H25" s="66" t="str">
        <f>IF($F$2='Bioenergy Calculator'!$X$9,AH25,IF($F$2='Bioenergy Calculator'!$X$10,AL25,IF($F$2='Bioenergy Calculator'!$X$11,AP25,IF($F$2='Bioenergy Calculator'!$X$12,R25,IF($F$2='Bioenergy Calculator'!$X$13,AT25,IF($F$2='Bioenergy Calculator'!$X$14,AX25,IF($F$2='Bioenergy Calculator'!$X$15,BB25,"NA")))))))</f>
        <v>NA</v>
      </c>
      <c r="I25" s="334" t="str">
        <f>IF($F$2='Bioenergy Calculator'!$X$9,AI25,IF($F$2='Bioenergy Calculator'!$X$10,AM25,IF($F$2='Bioenergy Calculator'!$X$11,AQ25,IF($F$2='Bioenergy Calculator'!$X$12,S25,IF($F$2='Bioenergy Calculator'!$X$13,AU25,IF($F$2='Bioenergy Calculator'!$X$14,AY25,IF($F$2='Bioenergy Calculator'!$X$15,BC25,"NA")))))))</f>
        <v>NA</v>
      </c>
      <c r="J25" s="117"/>
      <c r="K25" s="333" t="str">
        <f>IF($K$2='Bioenergy Calculator'!$X$21,X25,IF($K$2='Bioenergy Calculator'!$X$22,BH25,IF($K$2='Bioenergy Calculator'!$X$23,BD25,IF($K$2='Bioenergy Calculator'!$X$19,T25,IF($K$2='Bioenergy Calculator'!$X$20,AB25,IF($K$2='Bioenergy Calculator'!$X$24,'Conversion Tables'!BL25,"NA"))))))</f>
        <v>NA</v>
      </c>
      <c r="L25" s="66" t="str">
        <f>IF($K$2='Bioenergy Calculator'!$X$21,Y25,IF($K$2='Bioenergy Calculator'!$X$22,BI25,IF($K$2='Bioenergy Calculator'!$X$23,BE25,IF($K$2='Bioenergy Calculator'!$X$19,U25,IF($K$2='Bioenergy Calculator'!$X$20,AC25,IF($K$2='Bioenergy Calculator'!$X$24,'Conversion Tables'!BM25,"NA"))))))</f>
        <v>NA</v>
      </c>
      <c r="M25" s="66" t="str">
        <f>IF($K$2='Bioenergy Calculator'!$X$21,Z25,IF($K$2='Bioenergy Calculator'!$X$22,BJ25,IF($K$2='Bioenergy Calculator'!$X$23,BF25,IF($K$2='Bioenergy Calculator'!$X$19,V25,IF($K$2='Bioenergy Calculator'!$X$20,AD25,IF($K$2='Bioenergy Calculator'!$X$24,'Conversion Tables'!BN25,"NA"))))))</f>
        <v>NA</v>
      </c>
      <c r="N25" s="334" t="str">
        <f>IF($K$2='Bioenergy Calculator'!$X$21,AA25,IF($K$2='Bioenergy Calculator'!$X$22,BK25,IF($K$2='Bioenergy Calculator'!$X$23,BG25,IF($K$2='Bioenergy Calculator'!$X$19,W25,IF($K$2='Bioenergy Calculator'!$X$20,AE25,IF($K$2='Bioenergy Calculator'!$X$24,'Conversion Tables'!BO25,"NA"))))))</f>
        <v>NA</v>
      </c>
      <c r="O25" s="84"/>
      <c r="P25" s="68" t="s">
        <v>431</v>
      </c>
      <c r="Q25" s="51" t="s">
        <v>431</v>
      </c>
      <c r="R25" s="51" t="s">
        <v>431</v>
      </c>
      <c r="S25" s="65" t="s">
        <v>431</v>
      </c>
      <c r="T25" s="51" t="s">
        <v>431</v>
      </c>
      <c r="U25" s="51" t="s">
        <v>431</v>
      </c>
      <c r="V25" s="51" t="s">
        <v>431</v>
      </c>
      <c r="W25" s="65" t="s">
        <v>431</v>
      </c>
      <c r="X25" s="252">
        <f>'Fuel Yields Eth. and DA Hydrol.'!I19</f>
        <v>30.772213740458017</v>
      </c>
      <c r="Y25" s="252">
        <f>'Fuel Yields Eth. and DA Hydrol.'!J19</f>
        <v>36.917702838482796</v>
      </c>
      <c r="Z25" s="252">
        <f>'Fuel Yields Eth. and DA Hydrol.'!K19</f>
        <v>42.191660386837476</v>
      </c>
      <c r="AA25" s="255">
        <f>'Fuel Yields Eth. and DA Hydrol.'!L19</f>
        <v>47.465617935192164</v>
      </c>
      <c r="AB25" s="51" t="s">
        <v>431</v>
      </c>
      <c r="AC25" s="51" t="s">
        <v>431</v>
      </c>
      <c r="AD25" s="51" t="s">
        <v>431</v>
      </c>
      <c r="AE25" s="65" t="s">
        <v>431</v>
      </c>
      <c r="AF25" s="668">
        <f>('Energy Content Assumptions'!$B$69/'Technology Assumptions'!B$4)/1000</f>
        <v>13.648</v>
      </c>
      <c r="AG25" s="66">
        <f>('Energy Content Assumptions'!$B$69/'Technology Assumptions'!C$4)/1000</f>
        <v>13.648</v>
      </c>
      <c r="AH25" s="66">
        <f>('Energy Content Assumptions'!$B$69/'Technology Assumptions'!D$4)/1000</f>
        <v>13.648</v>
      </c>
      <c r="AI25" s="69">
        <f>('Energy Content Assumptions'!$B$69/'Technology Assumptions'!E$4)/1000</f>
        <v>13.648</v>
      </c>
      <c r="AJ25" s="66" t="s">
        <v>431</v>
      </c>
      <c r="AK25" s="66" t="s">
        <v>431</v>
      </c>
      <c r="AL25" s="66" t="s">
        <v>431</v>
      </c>
      <c r="AM25" s="69" t="s">
        <v>431</v>
      </c>
      <c r="AN25" s="66">
        <f>('Energy Content Assumptions'!$B$69/'Technology Assumptions'!B$7)/1000</f>
        <v>8.7487179487179496</v>
      </c>
      <c r="AO25" s="66">
        <f>('Energy Content Assumptions'!$B$69/'Technology Assumptions'!C$7)/1000</f>
        <v>8.7487179487179496</v>
      </c>
      <c r="AP25" s="66">
        <f>('Energy Content Assumptions'!$B$69/'Technology Assumptions'!D$7)/1000</f>
        <v>8.7487179487179496</v>
      </c>
      <c r="AQ25" s="69">
        <f>('Energy Content Assumptions'!$B$69/'Technology Assumptions'!E$7)/1000</f>
        <v>8.7487179487179496</v>
      </c>
      <c r="AR25" s="66">
        <f>('Energy Content Assumptions'!$B$69/'Technology Assumptions'!B$6)/1000</f>
        <v>9.7485714285714291</v>
      </c>
      <c r="AS25" s="66">
        <f>('Energy Content Assumptions'!$B$69/'Technology Assumptions'!C$6)/1000</f>
        <v>9.7485714285714291</v>
      </c>
      <c r="AT25" s="66">
        <f>('Energy Content Assumptions'!$B$69/'Technology Assumptions'!D$6)/1000</f>
        <v>9.7485714285714291</v>
      </c>
      <c r="AU25" s="69">
        <f>('Energy Content Assumptions'!$B$69/'Technology Assumptions'!E$6)/1000</f>
        <v>9.7485714285714291</v>
      </c>
      <c r="AV25" s="51" t="s">
        <v>431</v>
      </c>
      <c r="AW25" s="51" t="s">
        <v>431</v>
      </c>
      <c r="AX25" s="51" t="s">
        <v>431</v>
      </c>
      <c r="AY25" s="65" t="s">
        <v>431</v>
      </c>
      <c r="AZ25" s="88">
        <f>('Energy Content Assumptions'!$B$69/'Technology Assumptions'!B$11)/1000</f>
        <v>18.052910052910054</v>
      </c>
      <c r="BA25" s="88">
        <f>('Energy Content Assumptions'!$B$69/'Technology Assumptions'!C$11)/1000</f>
        <v>18.052910052910054</v>
      </c>
      <c r="BB25" s="88">
        <f>('Energy Content Assumptions'!$B$69/'Technology Assumptions'!D$11)/1000</f>
        <v>18.052910052910054</v>
      </c>
      <c r="BC25" s="89">
        <f>('Energy Content Assumptions'!$B$69/'Technology Assumptions'!E$11)/1000</f>
        <v>18.052910052910054</v>
      </c>
      <c r="BD25" s="316">
        <f>'Technology Assumptions'!B$27</f>
        <v>45.6</v>
      </c>
      <c r="BE25" s="316">
        <f>'Technology Assumptions'!C$27</f>
        <v>45.6</v>
      </c>
      <c r="BF25" s="316">
        <f>'Technology Assumptions'!D$27</f>
        <v>45.6</v>
      </c>
      <c r="BG25" s="326">
        <f>'Technology Assumptions'!E$27</f>
        <v>45.6</v>
      </c>
      <c r="BH25" s="252">
        <f>'Fuel Yields Eth. and DA Hydrol.'!$F$19</f>
        <v>31.217708041468196</v>
      </c>
      <c r="BI25" s="252">
        <f>'Fuel Yields Eth. and DA Hydrol.'!$F$19</f>
        <v>31.217708041468196</v>
      </c>
      <c r="BJ25" s="252">
        <f>'Fuel Yields Eth. and DA Hydrol.'!$F$19</f>
        <v>31.217708041468196</v>
      </c>
      <c r="BK25" s="255">
        <f>'Fuel Yields Eth. and DA Hydrol.'!$F$19</f>
        <v>31.217708041468196</v>
      </c>
      <c r="BL25" s="51" t="s">
        <v>431</v>
      </c>
      <c r="BM25" s="51" t="s">
        <v>431</v>
      </c>
      <c r="BN25" s="51" t="s">
        <v>431</v>
      </c>
      <c r="BO25" s="140" t="s">
        <v>431</v>
      </c>
    </row>
    <row r="26" spans="1:67" x14ac:dyDescent="0.25">
      <c r="A26" s="1093"/>
      <c r="B26" s="11" t="s">
        <v>561</v>
      </c>
      <c r="C26" s="32">
        <f>'Energy Content Assumptions'!B23*2000/1000000</f>
        <v>15.6</v>
      </c>
      <c r="D26" s="32" t="s">
        <v>261</v>
      </c>
      <c r="E26" s="119"/>
      <c r="F26" s="333" t="str">
        <f>IF($F$2='Bioenergy Calculator'!$X$9,AF26,IF($F$2='Bioenergy Calculator'!$X$10,AJ26,IF($F$2='Bioenergy Calculator'!$X$11,AN26,IF($F$2='Bioenergy Calculator'!$X$12,P26,IF($F$2='Bioenergy Calculator'!$X$13,AR26,IF($F$2='Bioenergy Calculator'!$X$14,AV26,IF($F$2='Bioenergy Calculator'!$X$15,AZ26,"NA")))))))</f>
        <v>NA</v>
      </c>
      <c r="G26" s="66" t="str">
        <f>IF($F$2='Bioenergy Calculator'!$X$9,AG26,IF($F$2='Bioenergy Calculator'!$X$10,AK26,IF($F$2='Bioenergy Calculator'!$X$11,AO26,IF($F$2='Bioenergy Calculator'!$X$12,Q26,IF($F$2='Bioenergy Calculator'!$X$13,AS26,IF($F$2='Bioenergy Calculator'!$X$14,AW26,IF($F$2='Bioenergy Calculator'!$X$15,BA26,"NA")))))))</f>
        <v>NA</v>
      </c>
      <c r="H26" s="66" t="str">
        <f>IF($F$2='Bioenergy Calculator'!$X$9,AH26,IF($F$2='Bioenergy Calculator'!$X$10,AL26,IF($F$2='Bioenergy Calculator'!$X$11,AP26,IF($F$2='Bioenergy Calculator'!$X$12,R26,IF($F$2='Bioenergy Calculator'!$X$13,AT26,IF($F$2='Bioenergy Calculator'!$X$14,AX26,IF($F$2='Bioenergy Calculator'!$X$15,BB26,"NA")))))))</f>
        <v>NA</v>
      </c>
      <c r="I26" s="334" t="str">
        <f>IF($F$2='Bioenergy Calculator'!$X$9,AI26,IF($F$2='Bioenergy Calculator'!$X$10,AM26,IF($F$2='Bioenergy Calculator'!$X$11,AQ26,IF($F$2='Bioenergy Calculator'!$X$12,S26,IF($F$2='Bioenergy Calculator'!$X$13,AU26,IF($F$2='Bioenergy Calculator'!$X$14,AY26,IF($F$2='Bioenergy Calculator'!$X$15,BC26,"NA")))))))</f>
        <v>NA</v>
      </c>
      <c r="J26" s="117"/>
      <c r="K26" s="333" t="str">
        <f>IF($K$2='Bioenergy Calculator'!$X$21,X26,IF($K$2='Bioenergy Calculator'!$X$22,BH26,IF($K$2='Bioenergy Calculator'!$X$23,BD26,IF($K$2='Bioenergy Calculator'!$X$19,T26,IF($K$2='Bioenergy Calculator'!$X$20,AB26,IF($K$2='Bioenergy Calculator'!$X$24,'Conversion Tables'!BL26,"NA"))))))</f>
        <v>NA</v>
      </c>
      <c r="L26" s="66" t="str">
        <f>IF($K$2='Bioenergy Calculator'!$X$21,Y26,IF($K$2='Bioenergy Calculator'!$X$22,BI26,IF($K$2='Bioenergy Calculator'!$X$23,BE26,IF($K$2='Bioenergy Calculator'!$X$19,U26,IF($K$2='Bioenergy Calculator'!$X$20,AC26,IF($K$2='Bioenergy Calculator'!$X$24,'Conversion Tables'!BM26,"NA"))))))</f>
        <v>NA</v>
      </c>
      <c r="M26" s="66" t="str">
        <f>IF($K$2='Bioenergy Calculator'!$X$21,Z26,IF($K$2='Bioenergy Calculator'!$X$22,BJ26,IF($K$2='Bioenergy Calculator'!$X$23,BF26,IF($K$2='Bioenergy Calculator'!$X$19,V26,IF($K$2='Bioenergy Calculator'!$X$20,AD26,IF($K$2='Bioenergy Calculator'!$X$24,'Conversion Tables'!BN26,"NA"))))))</f>
        <v>NA</v>
      </c>
      <c r="N26" s="334" t="str">
        <f>IF($K$2='Bioenergy Calculator'!$X$21,AA26,IF($K$2='Bioenergy Calculator'!$X$22,BK26,IF($K$2='Bioenergy Calculator'!$X$23,BG26,IF($K$2='Bioenergy Calculator'!$X$19,W26,IF($K$2='Bioenergy Calculator'!$X$20,AE26,IF($K$2='Bioenergy Calculator'!$X$24,'Conversion Tables'!BO26,"NA"))))))</f>
        <v>NA</v>
      </c>
      <c r="O26" s="84"/>
      <c r="P26" s="68" t="s">
        <v>431</v>
      </c>
      <c r="Q26" s="51" t="s">
        <v>431</v>
      </c>
      <c r="R26" s="51" t="s">
        <v>431</v>
      </c>
      <c r="S26" s="65" t="s">
        <v>431</v>
      </c>
      <c r="T26" s="51" t="s">
        <v>431</v>
      </c>
      <c r="U26" s="51" t="s">
        <v>431</v>
      </c>
      <c r="V26" s="51" t="s">
        <v>431</v>
      </c>
      <c r="W26" s="65" t="s">
        <v>431</v>
      </c>
      <c r="X26" s="252">
        <f>'Fuel Yields Eth. and DA Hydrol.'!I19</f>
        <v>30.772213740458017</v>
      </c>
      <c r="Y26" s="252">
        <f>'Fuel Yields Eth. and DA Hydrol.'!J19</f>
        <v>36.917702838482796</v>
      </c>
      <c r="Z26" s="252">
        <f>'Fuel Yields Eth. and DA Hydrol.'!K19</f>
        <v>42.191660386837476</v>
      </c>
      <c r="AA26" s="255">
        <f>'Fuel Yields Eth. and DA Hydrol.'!L19</f>
        <v>47.465617935192164</v>
      </c>
      <c r="AB26" s="51" t="s">
        <v>431</v>
      </c>
      <c r="AC26" s="51" t="s">
        <v>431</v>
      </c>
      <c r="AD26" s="51" t="s">
        <v>431</v>
      </c>
      <c r="AE26" s="65" t="s">
        <v>431</v>
      </c>
      <c r="AF26" s="668">
        <f>('Energy Content Assumptions'!$B$69/'Technology Assumptions'!B$4)/1000</f>
        <v>13.648</v>
      </c>
      <c r="AG26" s="66">
        <f>('Energy Content Assumptions'!$B$69/'Technology Assumptions'!C$4)/1000</f>
        <v>13.648</v>
      </c>
      <c r="AH26" s="66">
        <f>('Energy Content Assumptions'!$B$69/'Technology Assumptions'!D$4)/1000</f>
        <v>13.648</v>
      </c>
      <c r="AI26" s="69">
        <f>('Energy Content Assumptions'!$B$69/'Technology Assumptions'!E$4)/1000</f>
        <v>13.648</v>
      </c>
      <c r="AJ26" s="66" t="s">
        <v>431</v>
      </c>
      <c r="AK26" s="66" t="s">
        <v>431</v>
      </c>
      <c r="AL26" s="66" t="s">
        <v>431</v>
      </c>
      <c r="AM26" s="69" t="s">
        <v>431</v>
      </c>
      <c r="AN26" s="66">
        <f>('Energy Content Assumptions'!$B$69/'Technology Assumptions'!B$7)/1000</f>
        <v>8.7487179487179496</v>
      </c>
      <c r="AO26" s="66">
        <f>('Energy Content Assumptions'!$B$69/'Technology Assumptions'!C$7)/1000</f>
        <v>8.7487179487179496</v>
      </c>
      <c r="AP26" s="66">
        <f>('Energy Content Assumptions'!$B$69/'Technology Assumptions'!D$7)/1000</f>
        <v>8.7487179487179496</v>
      </c>
      <c r="AQ26" s="69">
        <f>('Energy Content Assumptions'!$B$69/'Technology Assumptions'!E$7)/1000</f>
        <v>8.7487179487179496</v>
      </c>
      <c r="AR26" s="66">
        <f>('Energy Content Assumptions'!$B$69/'Technology Assumptions'!B$6)/1000</f>
        <v>9.7485714285714291</v>
      </c>
      <c r="AS26" s="66">
        <f>('Energy Content Assumptions'!$B$69/'Technology Assumptions'!C$6)/1000</f>
        <v>9.7485714285714291</v>
      </c>
      <c r="AT26" s="66">
        <f>('Energy Content Assumptions'!$B$69/'Technology Assumptions'!D$6)/1000</f>
        <v>9.7485714285714291</v>
      </c>
      <c r="AU26" s="69">
        <f>('Energy Content Assumptions'!$B$69/'Technology Assumptions'!E$6)/1000</f>
        <v>9.7485714285714291</v>
      </c>
      <c r="AV26" s="51" t="s">
        <v>431</v>
      </c>
      <c r="AW26" s="51" t="s">
        <v>431</v>
      </c>
      <c r="AX26" s="51" t="s">
        <v>431</v>
      </c>
      <c r="AY26" s="65" t="s">
        <v>431</v>
      </c>
      <c r="AZ26" s="88">
        <f>('Energy Content Assumptions'!$B$69/'Technology Assumptions'!B$11)/1000</f>
        <v>18.052910052910054</v>
      </c>
      <c r="BA26" s="88">
        <f>('Energy Content Assumptions'!$B$69/'Technology Assumptions'!C$11)/1000</f>
        <v>18.052910052910054</v>
      </c>
      <c r="BB26" s="88">
        <f>('Energy Content Assumptions'!$B$69/'Technology Assumptions'!D$11)/1000</f>
        <v>18.052910052910054</v>
      </c>
      <c r="BC26" s="89">
        <f>('Energy Content Assumptions'!$B$69/'Technology Assumptions'!E$11)/1000</f>
        <v>18.052910052910054</v>
      </c>
      <c r="BD26" s="316">
        <f>'Technology Assumptions'!B$27</f>
        <v>45.6</v>
      </c>
      <c r="BE26" s="316">
        <f>'Technology Assumptions'!C$27</f>
        <v>45.6</v>
      </c>
      <c r="BF26" s="316">
        <f>'Technology Assumptions'!D$27</f>
        <v>45.6</v>
      </c>
      <c r="BG26" s="326">
        <f>'Technology Assumptions'!E$27</f>
        <v>45.6</v>
      </c>
      <c r="BH26" s="252">
        <f>'Fuel Yields Eth. and DA Hydrol.'!$F$19</f>
        <v>31.217708041468196</v>
      </c>
      <c r="BI26" s="252">
        <f>'Fuel Yields Eth. and DA Hydrol.'!$F$19</f>
        <v>31.217708041468196</v>
      </c>
      <c r="BJ26" s="252">
        <f>'Fuel Yields Eth. and DA Hydrol.'!$F$19</f>
        <v>31.217708041468196</v>
      </c>
      <c r="BK26" s="255">
        <f>'Fuel Yields Eth. and DA Hydrol.'!$F$19</f>
        <v>31.217708041468196</v>
      </c>
      <c r="BL26" s="51" t="s">
        <v>431</v>
      </c>
      <c r="BM26" s="51" t="s">
        <v>431</v>
      </c>
      <c r="BN26" s="51" t="s">
        <v>431</v>
      </c>
      <c r="BO26" s="140" t="s">
        <v>431</v>
      </c>
    </row>
    <row r="27" spans="1:67" x14ac:dyDescent="0.25">
      <c r="A27" s="1102"/>
      <c r="B27" s="11" t="s">
        <v>562</v>
      </c>
      <c r="C27" s="32">
        <f>'Energy Content Assumptions'!B24*2000/1000000</f>
        <v>17.7</v>
      </c>
      <c r="D27" s="32" t="s">
        <v>261</v>
      </c>
      <c r="E27" s="119"/>
      <c r="F27" s="333" t="str">
        <f>IF($F$2='Bioenergy Calculator'!$X$9,AF27,IF($F$2='Bioenergy Calculator'!$X$10,AJ27,IF($F$2='Bioenergy Calculator'!$X$11,AN27,IF($F$2='Bioenergy Calculator'!$X$12,P27,IF($F$2='Bioenergy Calculator'!$X$13,AR27,IF($F$2='Bioenergy Calculator'!$X$14,AV27,IF($F$2='Bioenergy Calculator'!$X$15,AZ27,"NA")))))))</f>
        <v>NA</v>
      </c>
      <c r="G27" s="66" t="str">
        <f>IF($F$2='Bioenergy Calculator'!$X$9,AG27,IF($F$2='Bioenergy Calculator'!$X$10,AK27,IF($F$2='Bioenergy Calculator'!$X$11,AO27,IF($F$2='Bioenergy Calculator'!$X$12,Q27,IF($F$2='Bioenergy Calculator'!$X$13,AS27,IF($F$2='Bioenergy Calculator'!$X$14,AW27,IF($F$2='Bioenergy Calculator'!$X$15,BA27,"NA")))))))</f>
        <v>NA</v>
      </c>
      <c r="H27" s="66" t="str">
        <f>IF($F$2='Bioenergy Calculator'!$X$9,AH27,IF($F$2='Bioenergy Calculator'!$X$10,AL27,IF($F$2='Bioenergy Calculator'!$X$11,AP27,IF($F$2='Bioenergy Calculator'!$X$12,R27,IF($F$2='Bioenergy Calculator'!$X$13,AT27,IF($F$2='Bioenergy Calculator'!$X$14,AX27,IF($F$2='Bioenergy Calculator'!$X$15,BB27,"NA")))))))</f>
        <v>NA</v>
      </c>
      <c r="I27" s="334" t="str">
        <f>IF($F$2='Bioenergy Calculator'!$X$9,AI27,IF($F$2='Bioenergy Calculator'!$X$10,AM27,IF($F$2='Bioenergy Calculator'!$X$11,AQ27,IF($F$2='Bioenergy Calculator'!$X$12,S27,IF($F$2='Bioenergy Calculator'!$X$13,AU27,IF($F$2='Bioenergy Calculator'!$X$14,AY27,IF($F$2='Bioenergy Calculator'!$X$15,BC27,"NA")))))))</f>
        <v>NA</v>
      </c>
      <c r="J27" s="117"/>
      <c r="K27" s="333" t="str">
        <f>IF($K$2='Bioenergy Calculator'!$X$21,X27,IF($K$2='Bioenergy Calculator'!$X$22,BH27,IF($K$2='Bioenergy Calculator'!$X$23,BD27,IF($K$2='Bioenergy Calculator'!$X$19,T27,IF($K$2='Bioenergy Calculator'!$X$20,AB27,IF($K$2='Bioenergy Calculator'!$X$24,'Conversion Tables'!BL27,"NA"))))))</f>
        <v>NA</v>
      </c>
      <c r="L27" s="66" t="str">
        <f>IF($K$2='Bioenergy Calculator'!$X$21,Y27,IF($K$2='Bioenergy Calculator'!$X$22,BI27,IF($K$2='Bioenergy Calculator'!$X$23,BE27,IF($K$2='Bioenergy Calculator'!$X$19,U27,IF($K$2='Bioenergy Calculator'!$X$20,AC27,IF($K$2='Bioenergy Calculator'!$X$24,'Conversion Tables'!BM27,"NA"))))))</f>
        <v>NA</v>
      </c>
      <c r="M27" s="66" t="str">
        <f>IF($K$2='Bioenergy Calculator'!$X$21,Z27,IF($K$2='Bioenergy Calculator'!$X$22,BJ27,IF($K$2='Bioenergy Calculator'!$X$23,BF27,IF($K$2='Bioenergy Calculator'!$X$19,V27,IF($K$2='Bioenergy Calculator'!$X$20,AD27,IF($K$2='Bioenergy Calculator'!$X$24,'Conversion Tables'!BN27,"NA"))))))</f>
        <v>NA</v>
      </c>
      <c r="N27" s="334" t="str">
        <f>IF($K$2='Bioenergy Calculator'!$X$21,AA27,IF($K$2='Bioenergy Calculator'!$X$22,BK27,IF($K$2='Bioenergy Calculator'!$X$23,BG27,IF($K$2='Bioenergy Calculator'!$X$19,W27,IF($K$2='Bioenergy Calculator'!$X$20,AE27,IF($K$2='Bioenergy Calculator'!$X$24,'Conversion Tables'!BO27,"NA"))))))</f>
        <v>NA</v>
      </c>
      <c r="O27" s="84"/>
      <c r="P27" s="68" t="s">
        <v>431</v>
      </c>
      <c r="Q27" s="51" t="s">
        <v>431</v>
      </c>
      <c r="R27" s="51" t="s">
        <v>431</v>
      </c>
      <c r="S27" s="65" t="s">
        <v>431</v>
      </c>
      <c r="T27" s="51" t="s">
        <v>431</v>
      </c>
      <c r="U27" s="51" t="s">
        <v>431</v>
      </c>
      <c r="V27" s="51" t="s">
        <v>431</v>
      </c>
      <c r="W27" s="65" t="s">
        <v>431</v>
      </c>
      <c r="X27" s="252">
        <f>'Fuel Yields Eth. and DA Hydrol.'!I21</f>
        <v>59.465648854961835</v>
      </c>
      <c r="Y27" s="252">
        <f>'Fuel Yields Eth. and DA Hydrol.'!J21</f>
        <v>71.341476178514611</v>
      </c>
      <c r="Z27" s="252">
        <f>'Fuel Yields Eth. and DA Hydrol.'!K21</f>
        <v>81.533115632588121</v>
      </c>
      <c r="AA27" s="255">
        <f>'Fuel Yields Eth. and DA Hydrol.'!L21</f>
        <v>91.724755086661645</v>
      </c>
      <c r="AB27" s="51" t="s">
        <v>431</v>
      </c>
      <c r="AC27" s="51" t="s">
        <v>431</v>
      </c>
      <c r="AD27" s="51" t="s">
        <v>431</v>
      </c>
      <c r="AE27" s="65" t="s">
        <v>431</v>
      </c>
      <c r="AF27" s="668">
        <f>('Energy Content Assumptions'!$B$69/'Technology Assumptions'!B$4)/1000</f>
        <v>13.648</v>
      </c>
      <c r="AG27" s="66">
        <f>('Energy Content Assumptions'!$B$69/'Technology Assumptions'!C$4)/1000</f>
        <v>13.648</v>
      </c>
      <c r="AH27" s="66">
        <f>('Energy Content Assumptions'!$B$69/'Technology Assumptions'!D$4)/1000</f>
        <v>13.648</v>
      </c>
      <c r="AI27" s="69">
        <f>('Energy Content Assumptions'!$B$69/'Technology Assumptions'!E$4)/1000</f>
        <v>13.648</v>
      </c>
      <c r="AJ27" s="66" t="s">
        <v>431</v>
      </c>
      <c r="AK27" s="66" t="s">
        <v>431</v>
      </c>
      <c r="AL27" s="66" t="s">
        <v>431</v>
      </c>
      <c r="AM27" s="69" t="s">
        <v>431</v>
      </c>
      <c r="AN27" s="66">
        <f>('Energy Content Assumptions'!$B$69/'Technology Assumptions'!B$7)/1000</f>
        <v>8.7487179487179496</v>
      </c>
      <c r="AO27" s="66">
        <f>('Energy Content Assumptions'!$B$69/'Technology Assumptions'!C$7)/1000</f>
        <v>8.7487179487179496</v>
      </c>
      <c r="AP27" s="66">
        <f>('Energy Content Assumptions'!$B$69/'Technology Assumptions'!D$7)/1000</f>
        <v>8.7487179487179496</v>
      </c>
      <c r="AQ27" s="69">
        <f>('Energy Content Assumptions'!$B$69/'Technology Assumptions'!E$7)/1000</f>
        <v>8.7487179487179496</v>
      </c>
      <c r="AR27" s="66">
        <f>('Energy Content Assumptions'!$B$69/'Technology Assumptions'!B$6)/1000</f>
        <v>9.7485714285714291</v>
      </c>
      <c r="AS27" s="66">
        <f>('Energy Content Assumptions'!$B$69/'Technology Assumptions'!C$6)/1000</f>
        <v>9.7485714285714291</v>
      </c>
      <c r="AT27" s="66">
        <f>('Energy Content Assumptions'!$B$69/'Technology Assumptions'!D$6)/1000</f>
        <v>9.7485714285714291</v>
      </c>
      <c r="AU27" s="69">
        <f>('Energy Content Assumptions'!$B$69/'Technology Assumptions'!E$6)/1000</f>
        <v>9.7485714285714291</v>
      </c>
      <c r="AV27" s="51" t="s">
        <v>431</v>
      </c>
      <c r="AW27" s="51" t="s">
        <v>431</v>
      </c>
      <c r="AX27" s="51" t="s">
        <v>431</v>
      </c>
      <c r="AY27" s="65" t="s">
        <v>431</v>
      </c>
      <c r="AZ27" s="88">
        <f>('Energy Content Assumptions'!$B$69/'Technology Assumptions'!B$11)/1000</f>
        <v>18.052910052910054</v>
      </c>
      <c r="BA27" s="88">
        <f>('Energy Content Assumptions'!$B$69/'Technology Assumptions'!C$11)/1000</f>
        <v>18.052910052910054</v>
      </c>
      <c r="BB27" s="88">
        <f>('Energy Content Assumptions'!$B$69/'Technology Assumptions'!D$11)/1000</f>
        <v>18.052910052910054</v>
      </c>
      <c r="BC27" s="89">
        <f>('Energy Content Assumptions'!$B$69/'Technology Assumptions'!E$11)/1000</f>
        <v>18.052910052910054</v>
      </c>
      <c r="BD27" s="316">
        <f>'Technology Assumptions'!B$27</f>
        <v>45.6</v>
      </c>
      <c r="BE27" s="316">
        <f>'Technology Assumptions'!C$27</f>
        <v>45.6</v>
      </c>
      <c r="BF27" s="316">
        <f>'Technology Assumptions'!D$27</f>
        <v>45.6</v>
      </c>
      <c r="BG27" s="326">
        <f>'Technology Assumptions'!E$27</f>
        <v>45.6</v>
      </c>
      <c r="BH27" s="252">
        <f>'Fuel Yields Eth. and DA Hydrol.'!$F$21</f>
        <v>65.788736340711679</v>
      </c>
      <c r="BI27" s="252">
        <f>'Fuel Yields Eth. and DA Hydrol.'!$F$21</f>
        <v>65.788736340711679</v>
      </c>
      <c r="BJ27" s="252">
        <f>'Fuel Yields Eth. and DA Hydrol.'!$F$21</f>
        <v>65.788736340711679</v>
      </c>
      <c r="BK27" s="255">
        <f>'Fuel Yields Eth. and DA Hydrol.'!$F$21</f>
        <v>65.788736340711679</v>
      </c>
      <c r="BL27" s="51" t="s">
        <v>431</v>
      </c>
      <c r="BM27" s="51" t="s">
        <v>431</v>
      </c>
      <c r="BN27" s="51" t="s">
        <v>431</v>
      </c>
      <c r="BO27" s="140" t="s">
        <v>431</v>
      </c>
    </row>
    <row r="28" spans="1:67" x14ac:dyDescent="0.25">
      <c r="A28" s="1092" t="s">
        <v>516</v>
      </c>
      <c r="B28" s="130" t="str">
        <f>'Bioenergy Calculator'!B34</f>
        <v>Solid wastes - Landfilled</v>
      </c>
      <c r="C28" s="32"/>
      <c r="D28" s="32"/>
      <c r="E28" s="119"/>
      <c r="F28" s="333"/>
      <c r="G28" s="66"/>
      <c r="H28" s="66"/>
      <c r="I28" s="334"/>
      <c r="J28" s="117"/>
      <c r="K28" s="333"/>
      <c r="L28" s="66"/>
      <c r="M28" s="66"/>
      <c r="N28" s="334"/>
      <c r="O28" s="84"/>
      <c r="P28" s="68"/>
      <c r="Q28" s="51"/>
      <c r="R28" s="51"/>
      <c r="S28" s="65"/>
      <c r="T28" s="51"/>
      <c r="U28" s="51"/>
      <c r="V28" s="51"/>
      <c r="W28" s="65"/>
      <c r="X28" s="146"/>
      <c r="Y28" s="146"/>
      <c r="Z28" s="146"/>
      <c r="AA28" s="257"/>
      <c r="AB28" s="51"/>
      <c r="AC28" s="51"/>
      <c r="AD28" s="51"/>
      <c r="AE28" s="65"/>
      <c r="AF28" s="68"/>
      <c r="AG28" s="51"/>
      <c r="AH28" s="51"/>
      <c r="AI28" s="65"/>
      <c r="AJ28" s="51"/>
      <c r="AK28" s="51"/>
      <c r="AL28" s="51"/>
      <c r="AM28" s="65"/>
      <c r="AN28" s="66"/>
      <c r="AO28" s="66"/>
      <c r="AP28" s="66"/>
      <c r="AQ28" s="69"/>
      <c r="AR28" s="51"/>
      <c r="AS28" s="51"/>
      <c r="AT28" s="51"/>
      <c r="AU28" s="65"/>
      <c r="AV28" s="74"/>
      <c r="AW28" s="74"/>
      <c r="AX28" s="74"/>
      <c r="AY28" s="75"/>
      <c r="AZ28" s="51"/>
      <c r="BA28" s="51"/>
      <c r="BB28" s="51"/>
      <c r="BC28" s="65"/>
      <c r="BD28" s="316"/>
      <c r="BE28" s="316"/>
      <c r="BF28" s="316"/>
      <c r="BG28" s="326"/>
      <c r="BH28" s="146"/>
      <c r="BI28" s="146"/>
      <c r="BJ28" s="146"/>
      <c r="BK28" s="257"/>
      <c r="BL28" s="51"/>
      <c r="BM28" s="51"/>
      <c r="BN28" s="51"/>
      <c r="BO28" s="140"/>
    </row>
    <row r="29" spans="1:67" x14ac:dyDescent="0.25">
      <c r="A29" s="1093"/>
      <c r="B29" s="11" t="str">
        <f>'Bioenergy Calculator'!B35</f>
        <v>Food waste, Landfilled</v>
      </c>
      <c r="C29" s="32">
        <f>'Energy Content Assumptions'!B26*2000/1000000</f>
        <v>16</v>
      </c>
      <c r="D29" s="32" t="s">
        <v>261</v>
      </c>
      <c r="E29" s="119"/>
      <c r="F29" s="333" t="str">
        <f>IF($F$2='Bioenergy Calculator'!$X$9,AF29,IF($F$2='Bioenergy Calculator'!$X$10,AJ29,IF($F$2='Bioenergy Calculator'!$X$11,AN29,IF($F$2='Bioenergy Calculator'!$X$12,P29,IF($F$2='Bioenergy Calculator'!$X$13,AR29,IF($F$2='Bioenergy Calculator'!$X$14,AV29,IF($F$2='Bioenergy Calculator'!$X$15,AZ29,"NA")))))))</f>
        <v>NA</v>
      </c>
      <c r="G29" s="66" t="str">
        <f>IF($F$2='Bioenergy Calculator'!$X$9,AG29,IF($F$2='Bioenergy Calculator'!$X$10,AK29,IF($F$2='Bioenergy Calculator'!$X$11,AO29,IF($F$2='Bioenergy Calculator'!$X$12,Q29,IF($F$2='Bioenergy Calculator'!$X$13,AS29,IF($F$2='Bioenergy Calculator'!$X$14,AW29,IF($F$2='Bioenergy Calculator'!$X$15,BA29,"NA")))))))</f>
        <v>NA</v>
      </c>
      <c r="H29" s="66" t="str">
        <f>IF($F$2='Bioenergy Calculator'!$X$9,AH29,IF($F$2='Bioenergy Calculator'!$X$10,AL29,IF($F$2='Bioenergy Calculator'!$X$11,AP29,IF($F$2='Bioenergy Calculator'!$X$12,R29,IF($F$2='Bioenergy Calculator'!$X$13,AT29,IF($F$2='Bioenergy Calculator'!$X$14,AX29,IF($F$2='Bioenergy Calculator'!$X$15,BB29,"NA")))))))</f>
        <v>NA</v>
      </c>
      <c r="I29" s="334" t="str">
        <f>IF($F$2='Bioenergy Calculator'!$X$9,AI29,IF($F$2='Bioenergy Calculator'!$X$10,AM29,IF($F$2='Bioenergy Calculator'!$X$11,AQ29,IF($F$2='Bioenergy Calculator'!$X$12,S29,IF($F$2='Bioenergy Calculator'!$X$13,AU29,IF($F$2='Bioenergy Calculator'!$X$14,AY29,IF($F$2='Bioenergy Calculator'!$X$15,BC29,"NA")))))))</f>
        <v>NA</v>
      </c>
      <c r="J29" s="117"/>
      <c r="K29" s="333" t="str">
        <f>IF($K$2='Bioenergy Calculator'!$X$21,X29,IF($K$2='Bioenergy Calculator'!$X$22,BH29,IF($K$2='Bioenergy Calculator'!$X$23,BD29,IF($K$2='Bioenergy Calculator'!$X$19,T29,IF($K$2='Bioenergy Calculator'!$X$20,AB29,IF($K$2='Bioenergy Calculator'!$X$24,'Conversion Tables'!BL29,"NA"))))))</f>
        <v>NA</v>
      </c>
      <c r="L29" s="66" t="str">
        <f>IF($K$2='Bioenergy Calculator'!$X$21,Y29,IF($K$2='Bioenergy Calculator'!$X$22,BI29,IF($K$2='Bioenergy Calculator'!$X$23,BE29,IF($K$2='Bioenergy Calculator'!$X$19,U29,IF($K$2='Bioenergy Calculator'!$X$20,AC29,IF($K$2='Bioenergy Calculator'!$X$24,'Conversion Tables'!BM29,"NA"))))))</f>
        <v>NA</v>
      </c>
      <c r="M29" s="66" t="str">
        <f>IF($K$2='Bioenergy Calculator'!$X$21,Z29,IF($K$2='Bioenergy Calculator'!$X$22,BJ29,IF($K$2='Bioenergy Calculator'!$X$23,BF29,IF($K$2='Bioenergy Calculator'!$X$19,V29,IF($K$2='Bioenergy Calculator'!$X$20,AD29,IF($K$2='Bioenergy Calculator'!$X$24,'Conversion Tables'!BN29,"NA"))))))</f>
        <v>NA</v>
      </c>
      <c r="N29" s="334" t="str">
        <f>IF($K$2='Bioenergy Calculator'!$X$21,AA29,IF($K$2='Bioenergy Calculator'!$X$22,BK29,IF($K$2='Bioenergy Calculator'!$X$23,BG29,IF($K$2='Bioenergy Calculator'!$X$19,W29,IF($K$2='Bioenergy Calculator'!$X$20,AE29,IF($K$2='Bioenergy Calculator'!$X$24,'Conversion Tables'!BO29,"NA"))))))</f>
        <v>NA</v>
      </c>
      <c r="O29" s="84"/>
      <c r="P29" s="77">
        <f>('Energy Content Assumptions'!$B$69/'Technology Assumptions'!B$8)/1000</f>
        <v>12.998095238095237</v>
      </c>
      <c r="Q29" s="78">
        <f>('Energy Content Assumptions'!$B$69/'Technology Assumptions'!C$8)/1000</f>
        <v>12.998095238095237</v>
      </c>
      <c r="R29" s="78">
        <f>('Energy Content Assumptions'!$B$69/'Technology Assumptions'!D$8)/1000</f>
        <v>12.998095238095237</v>
      </c>
      <c r="S29" s="79">
        <f>('Energy Content Assumptions'!$B$69/'Technology Assumptions'!E$8)/1000</f>
        <v>12.998095238095237</v>
      </c>
      <c r="T29" s="51" t="s">
        <v>431</v>
      </c>
      <c r="U29" s="51" t="s">
        <v>431</v>
      </c>
      <c r="V29" s="51" t="s">
        <v>431</v>
      </c>
      <c r="W29" s="65" t="s">
        <v>431</v>
      </c>
      <c r="X29" s="146" t="s">
        <v>431</v>
      </c>
      <c r="Y29" s="146" t="s">
        <v>431</v>
      </c>
      <c r="Z29" s="146" t="s">
        <v>431</v>
      </c>
      <c r="AA29" s="257" t="s">
        <v>431</v>
      </c>
      <c r="AB29" s="51" t="s">
        <v>431</v>
      </c>
      <c r="AC29" s="51" t="s">
        <v>431</v>
      </c>
      <c r="AD29" s="51" t="s">
        <v>431</v>
      </c>
      <c r="AE29" s="65" t="s">
        <v>431</v>
      </c>
      <c r="AF29" s="68" t="s">
        <v>431</v>
      </c>
      <c r="AG29" s="51" t="s">
        <v>431</v>
      </c>
      <c r="AH29" s="51" t="s">
        <v>431</v>
      </c>
      <c r="AI29" s="65" t="s">
        <v>431</v>
      </c>
      <c r="AJ29" s="66" t="s">
        <v>431</v>
      </c>
      <c r="AK29" s="66" t="s">
        <v>431</v>
      </c>
      <c r="AL29" s="66" t="s">
        <v>431</v>
      </c>
      <c r="AM29" s="69" t="s">
        <v>431</v>
      </c>
      <c r="AN29" s="51" t="s">
        <v>431</v>
      </c>
      <c r="AO29" s="51" t="s">
        <v>431</v>
      </c>
      <c r="AP29" s="51" t="s">
        <v>431</v>
      </c>
      <c r="AQ29" s="65" t="s">
        <v>431</v>
      </c>
      <c r="AR29" s="74" t="s">
        <v>431</v>
      </c>
      <c r="AS29" s="74" t="s">
        <v>431</v>
      </c>
      <c r="AT29" s="74" t="s">
        <v>431</v>
      </c>
      <c r="AU29" s="75" t="s">
        <v>431</v>
      </c>
      <c r="AV29" s="51" t="s">
        <v>431</v>
      </c>
      <c r="AW29" s="51" t="s">
        <v>431</v>
      </c>
      <c r="AX29" s="51" t="s">
        <v>431</v>
      </c>
      <c r="AY29" s="65" t="s">
        <v>431</v>
      </c>
      <c r="AZ29" s="74" t="s">
        <v>431</v>
      </c>
      <c r="BA29" s="74" t="s">
        <v>431</v>
      </c>
      <c r="BB29" s="74" t="s">
        <v>431</v>
      </c>
      <c r="BC29" s="75" t="s">
        <v>431</v>
      </c>
      <c r="BD29" s="316">
        <f>'Technology Assumptions'!B$28</f>
        <v>41.4</v>
      </c>
      <c r="BE29" s="316">
        <f>'Technology Assumptions'!C$28</f>
        <v>41.4</v>
      </c>
      <c r="BF29" s="316">
        <f>'Technology Assumptions'!D$28</f>
        <v>41.4</v>
      </c>
      <c r="BG29" s="326">
        <f>'Technology Assumptions'!E$28</f>
        <v>41.4</v>
      </c>
      <c r="BH29" s="259">
        <f>'Fuel Yields Eth. and DA Hydrol.'!$F$20</f>
        <v>53.088260016811432</v>
      </c>
      <c r="BI29" s="259">
        <f>'Fuel Yields Eth. and DA Hydrol.'!$F$20</f>
        <v>53.088260016811432</v>
      </c>
      <c r="BJ29" s="259">
        <f>'Fuel Yields Eth. and DA Hydrol.'!$F$20</f>
        <v>53.088260016811432</v>
      </c>
      <c r="BK29" s="325">
        <f>'Fuel Yields Eth. and DA Hydrol.'!$F$20</f>
        <v>53.088260016811432</v>
      </c>
      <c r="BL29" s="78">
        <f>'Technology Assumptions'!B$30*$C29</f>
        <v>77.207656425928903</v>
      </c>
      <c r="BM29" s="78">
        <f>'Technology Assumptions'!C$30*$C29</f>
        <v>77.207656425928903</v>
      </c>
      <c r="BN29" s="78">
        <f>'Technology Assumptions'!D$30*$C29</f>
        <v>77.207656425928903</v>
      </c>
      <c r="BO29" s="239">
        <f>'Technology Assumptions'!E$30*$C29</f>
        <v>77.207656425928903</v>
      </c>
    </row>
    <row r="30" spans="1:67" x14ac:dyDescent="0.25">
      <c r="A30" s="1093"/>
      <c r="B30" s="11" t="str">
        <f>'Bioenergy Calculator'!B36</f>
        <v>Waste paper, Landfilled</v>
      </c>
      <c r="C30" s="32">
        <f>'Energy Content Assumptions'!B27*2000/1000000</f>
        <v>14.522</v>
      </c>
      <c r="D30" s="32" t="s">
        <v>261</v>
      </c>
      <c r="E30" s="119"/>
      <c r="F30" s="333" t="str">
        <f>IF($F$2='Bioenergy Calculator'!$X$9,AF30,IF($F$2='Bioenergy Calculator'!$X$10,AJ30,IF($F$2='Bioenergy Calculator'!$X$11,AN30,IF($F$2='Bioenergy Calculator'!$X$12,P30,IF($F$2='Bioenergy Calculator'!$X$13,AR30,IF($F$2='Bioenergy Calculator'!$X$14,AV30,IF($F$2='Bioenergy Calculator'!$X$15,AZ30,"NA")))))))</f>
        <v>NA</v>
      </c>
      <c r="G30" s="66" t="str">
        <f>IF($F$2='Bioenergy Calculator'!$X$9,AG30,IF($F$2='Bioenergy Calculator'!$X$10,AK30,IF($F$2='Bioenergy Calculator'!$X$11,AO30,IF($F$2='Bioenergy Calculator'!$X$12,Q30,IF($F$2='Bioenergy Calculator'!$X$13,AS30,IF($F$2='Bioenergy Calculator'!$X$14,AW30,IF($F$2='Bioenergy Calculator'!$X$15,BA30,"NA")))))))</f>
        <v>NA</v>
      </c>
      <c r="H30" s="66" t="str">
        <f>IF($F$2='Bioenergy Calculator'!$X$9,AH30,IF($F$2='Bioenergy Calculator'!$X$10,AL30,IF($F$2='Bioenergy Calculator'!$X$11,AP30,IF($F$2='Bioenergy Calculator'!$X$12,R30,IF($F$2='Bioenergy Calculator'!$X$13,AT30,IF($F$2='Bioenergy Calculator'!$X$14,AX30,IF($F$2='Bioenergy Calculator'!$X$15,BB30,"NA")))))))</f>
        <v>NA</v>
      </c>
      <c r="I30" s="334" t="str">
        <f>IF($F$2='Bioenergy Calculator'!$X$9,AI30,IF($F$2='Bioenergy Calculator'!$X$10,AM30,IF($F$2='Bioenergy Calculator'!$X$11,AQ30,IF($F$2='Bioenergy Calculator'!$X$12,S30,IF($F$2='Bioenergy Calculator'!$X$13,AU30,IF($F$2='Bioenergy Calculator'!$X$14,AY30,IF($F$2='Bioenergy Calculator'!$X$15,BC30,"NA")))))))</f>
        <v>NA</v>
      </c>
      <c r="J30" s="117"/>
      <c r="K30" s="333" t="str">
        <f>IF($K$2='Bioenergy Calculator'!$X$21,X30,IF($K$2='Bioenergy Calculator'!$X$22,BH30,IF($K$2='Bioenergy Calculator'!$X$23,BD30,IF($K$2='Bioenergy Calculator'!$X$19,T30,IF($K$2='Bioenergy Calculator'!$X$20,AB30,IF($K$2='Bioenergy Calculator'!$X$24,'Conversion Tables'!BL30,"NA"))))))</f>
        <v>NA</v>
      </c>
      <c r="L30" s="66" t="str">
        <f>IF($K$2='Bioenergy Calculator'!$X$21,Y30,IF($K$2='Bioenergy Calculator'!$X$22,BI30,IF($K$2='Bioenergy Calculator'!$X$23,BE30,IF($K$2='Bioenergy Calculator'!$X$19,U30,IF($K$2='Bioenergy Calculator'!$X$20,AC30,IF($K$2='Bioenergy Calculator'!$X$24,'Conversion Tables'!BM30,"NA"))))))</f>
        <v>NA</v>
      </c>
      <c r="M30" s="66" t="str">
        <f>IF($K$2='Bioenergy Calculator'!$X$21,Z30,IF($K$2='Bioenergy Calculator'!$X$22,BJ30,IF($K$2='Bioenergy Calculator'!$X$23,BF30,IF($K$2='Bioenergy Calculator'!$X$19,V30,IF($K$2='Bioenergy Calculator'!$X$20,AD30,IF($K$2='Bioenergy Calculator'!$X$24,'Conversion Tables'!BN30,"NA"))))))</f>
        <v>NA</v>
      </c>
      <c r="N30" s="334" t="str">
        <f>IF($K$2='Bioenergy Calculator'!$X$21,AA30,IF($K$2='Bioenergy Calculator'!$X$22,BK30,IF($K$2='Bioenergy Calculator'!$X$23,BG30,IF($K$2='Bioenergy Calculator'!$X$19,W30,IF($K$2='Bioenergy Calculator'!$X$20,AE30,IF($K$2='Bioenergy Calculator'!$X$24,'Conversion Tables'!BO30,"NA"))))))</f>
        <v>NA</v>
      </c>
      <c r="O30" s="84"/>
      <c r="P30" s="68" t="s">
        <v>431</v>
      </c>
      <c r="Q30" s="51" t="s">
        <v>431</v>
      </c>
      <c r="R30" s="51" t="s">
        <v>431</v>
      </c>
      <c r="S30" s="65" t="s">
        <v>431</v>
      </c>
      <c r="T30" s="51" t="s">
        <v>431</v>
      </c>
      <c r="U30" s="51" t="s">
        <v>431</v>
      </c>
      <c r="V30" s="51" t="s">
        <v>431</v>
      </c>
      <c r="W30" s="65" t="s">
        <v>431</v>
      </c>
      <c r="X30" s="252">
        <f>'Fuel Yields Eth. and DA Hydrol.'!I26</f>
        <v>58.812900763358769</v>
      </c>
      <c r="Y30" s="252">
        <f>'Fuel Yields Eth. and DA Hydrol.'!J26</f>
        <v>70.558368395712961</v>
      </c>
      <c r="Z30" s="252">
        <f>'Fuel Yields Eth. and DA Hydrol.'!K26</f>
        <v>80.638135309386243</v>
      </c>
      <c r="AA30" s="255">
        <f>'Fuel Yields Eth. and DA Hydrol.'!L26</f>
        <v>90.717902223059511</v>
      </c>
      <c r="AB30" s="51" t="s">
        <v>431</v>
      </c>
      <c r="AC30" s="51" t="s">
        <v>431</v>
      </c>
      <c r="AD30" s="51" t="s">
        <v>431</v>
      </c>
      <c r="AE30" s="65" t="s">
        <v>431</v>
      </c>
      <c r="AF30" s="668">
        <f>('Energy Content Assumptions'!$B$69/'Technology Assumptions'!B$4)/1000</f>
        <v>13.648</v>
      </c>
      <c r="AG30" s="66">
        <f>('Energy Content Assumptions'!$B$69/'Technology Assumptions'!C$4)/1000</f>
        <v>13.648</v>
      </c>
      <c r="AH30" s="66">
        <f>('Energy Content Assumptions'!$B$69/'Technology Assumptions'!D$4)/1000</f>
        <v>13.648</v>
      </c>
      <c r="AI30" s="69">
        <f>('Energy Content Assumptions'!$B$69/'Technology Assumptions'!E$4)/1000</f>
        <v>13.648</v>
      </c>
      <c r="AJ30" s="66" t="s">
        <v>431</v>
      </c>
      <c r="AK30" s="66" t="s">
        <v>431</v>
      </c>
      <c r="AL30" s="66" t="s">
        <v>431</v>
      </c>
      <c r="AM30" s="69" t="s">
        <v>431</v>
      </c>
      <c r="AN30" s="51" t="s">
        <v>431</v>
      </c>
      <c r="AO30" s="51" t="s">
        <v>431</v>
      </c>
      <c r="AP30" s="51" t="s">
        <v>431</v>
      </c>
      <c r="AQ30" s="65" t="s">
        <v>431</v>
      </c>
      <c r="AR30" s="66">
        <f>('Energy Content Assumptions'!$B$69/'Technology Assumptions'!B$6)/1000</f>
        <v>9.7485714285714291</v>
      </c>
      <c r="AS30" s="66">
        <f>('Energy Content Assumptions'!$B$69/'Technology Assumptions'!C$6)/1000</f>
        <v>9.7485714285714291</v>
      </c>
      <c r="AT30" s="66">
        <f>('Energy Content Assumptions'!$B$69/'Technology Assumptions'!D$6)/1000</f>
        <v>9.7485714285714291</v>
      </c>
      <c r="AU30" s="69">
        <f>('Energy Content Assumptions'!$B$69/'Technology Assumptions'!E$6)/1000</f>
        <v>9.7485714285714291</v>
      </c>
      <c r="AV30" s="51" t="s">
        <v>431</v>
      </c>
      <c r="AW30" s="51" t="s">
        <v>431</v>
      </c>
      <c r="AX30" s="51" t="s">
        <v>431</v>
      </c>
      <c r="AY30" s="65" t="s">
        <v>431</v>
      </c>
      <c r="AZ30" s="78">
        <f>('Energy Content Assumptions'!$B$69/'Technology Assumptions'!B$11)/1000</f>
        <v>18.052910052910054</v>
      </c>
      <c r="BA30" s="78">
        <f>('Energy Content Assumptions'!$B$69/'Technology Assumptions'!C$11)/1000</f>
        <v>18.052910052910054</v>
      </c>
      <c r="BB30" s="78">
        <f>('Energy Content Assumptions'!$B$69/'Technology Assumptions'!D$11)/1000</f>
        <v>18.052910052910054</v>
      </c>
      <c r="BC30" s="79">
        <f>('Energy Content Assumptions'!$B$69/'Technology Assumptions'!E$11)/1000</f>
        <v>18.052910052910054</v>
      </c>
      <c r="BD30" s="316">
        <f>'Technology Assumptions'!B$27</f>
        <v>45.6</v>
      </c>
      <c r="BE30" s="316">
        <f>'Technology Assumptions'!C$27</f>
        <v>45.6</v>
      </c>
      <c r="BF30" s="316">
        <f>'Technology Assumptions'!D$27</f>
        <v>45.6</v>
      </c>
      <c r="BG30" s="326">
        <f>'Technology Assumptions'!E$27</f>
        <v>45.6</v>
      </c>
      <c r="BH30" s="259">
        <f>'Fuel Yields Eth. and DA Hydrol.'!$F$26</f>
        <v>52.427570748108707</v>
      </c>
      <c r="BI30" s="259">
        <f>'Fuel Yields Eth. and DA Hydrol.'!$F$26</f>
        <v>52.427570748108707</v>
      </c>
      <c r="BJ30" s="259">
        <f>'Fuel Yields Eth. and DA Hydrol.'!$F$26</f>
        <v>52.427570748108707</v>
      </c>
      <c r="BK30" s="325">
        <f>'Fuel Yields Eth. and DA Hydrol.'!$F$26</f>
        <v>52.427570748108707</v>
      </c>
      <c r="BL30" s="51" t="s">
        <v>431</v>
      </c>
      <c r="BM30" s="51" t="s">
        <v>431</v>
      </c>
      <c r="BN30" s="51" t="s">
        <v>431</v>
      </c>
      <c r="BO30" s="140" t="s">
        <v>431</v>
      </c>
    </row>
    <row r="31" spans="1:67" x14ac:dyDescent="0.25">
      <c r="A31" s="1093"/>
      <c r="B31" s="11" t="str">
        <f>'Bioenergy Calculator'!B37</f>
        <v>Other Biomass, Landfilled</v>
      </c>
      <c r="C31" s="32">
        <f>'Energy Content Assumptions'!B28*2000/1000000</f>
        <v>14.522</v>
      </c>
      <c r="D31" s="32" t="s">
        <v>261</v>
      </c>
      <c r="E31" s="119"/>
      <c r="F31" s="333" t="str">
        <f>IF($F$2='Bioenergy Calculator'!$X$9,AF31,IF($F$2='Bioenergy Calculator'!$X$10,AJ31,IF($F$2='Bioenergy Calculator'!$X$11,AN31,IF($F$2='Bioenergy Calculator'!$X$12,P31,IF($F$2='Bioenergy Calculator'!$X$13,AR31,IF($F$2='Bioenergy Calculator'!$X$14,AV31,IF($F$2='Bioenergy Calculator'!$X$15,AZ31,"NA")))))))</f>
        <v>NA</v>
      </c>
      <c r="G31" s="66" t="str">
        <f>IF($F$2='Bioenergy Calculator'!$X$9,AG31,IF($F$2='Bioenergy Calculator'!$X$10,AK31,IF($F$2='Bioenergy Calculator'!$X$11,AO31,IF($F$2='Bioenergy Calculator'!$X$12,Q31,IF($F$2='Bioenergy Calculator'!$X$13,AS31,IF($F$2='Bioenergy Calculator'!$X$14,AW31,IF($F$2='Bioenergy Calculator'!$X$15,BA31,"NA")))))))</f>
        <v>NA</v>
      </c>
      <c r="H31" s="66" t="str">
        <f>IF($F$2='Bioenergy Calculator'!$X$9,AH31,IF($F$2='Bioenergy Calculator'!$X$10,AL31,IF($F$2='Bioenergy Calculator'!$X$11,AP31,IF($F$2='Bioenergy Calculator'!$X$12,R31,IF($F$2='Bioenergy Calculator'!$X$13,AT31,IF($F$2='Bioenergy Calculator'!$X$14,AX31,IF($F$2='Bioenergy Calculator'!$X$15,BB31,"NA")))))))</f>
        <v>NA</v>
      </c>
      <c r="I31" s="334" t="str">
        <f>IF($F$2='Bioenergy Calculator'!$X$9,AI31,IF($F$2='Bioenergy Calculator'!$X$10,AM31,IF($F$2='Bioenergy Calculator'!$X$11,AQ31,IF($F$2='Bioenergy Calculator'!$X$12,S31,IF($F$2='Bioenergy Calculator'!$X$13,AU31,IF($F$2='Bioenergy Calculator'!$X$14,AY31,IF($F$2='Bioenergy Calculator'!$X$15,BC31,"NA")))))))</f>
        <v>NA</v>
      </c>
      <c r="J31" s="117"/>
      <c r="K31" s="333" t="str">
        <f>IF($K$2='Bioenergy Calculator'!$X$21,X31,IF($K$2='Bioenergy Calculator'!$X$22,BH31,IF($K$2='Bioenergy Calculator'!$X$23,BD31,IF($K$2='Bioenergy Calculator'!$X$19,T31,IF($K$2='Bioenergy Calculator'!$X$20,AB31,IF($K$2='Bioenergy Calculator'!$X$24,'Conversion Tables'!BL31,"NA"))))))</f>
        <v>NA</v>
      </c>
      <c r="L31" s="66" t="str">
        <f>IF($K$2='Bioenergy Calculator'!$X$21,Y31,IF($K$2='Bioenergy Calculator'!$X$22,BI31,IF($K$2='Bioenergy Calculator'!$X$23,BE31,IF($K$2='Bioenergy Calculator'!$X$19,U31,IF($K$2='Bioenergy Calculator'!$X$20,AC31,IF($K$2='Bioenergy Calculator'!$X$24,'Conversion Tables'!BM31,"NA"))))))</f>
        <v>NA</v>
      </c>
      <c r="M31" s="66" t="str">
        <f>IF($K$2='Bioenergy Calculator'!$X$21,Z31,IF($K$2='Bioenergy Calculator'!$X$22,BJ31,IF($K$2='Bioenergy Calculator'!$X$23,BF31,IF($K$2='Bioenergy Calculator'!$X$19,V31,IF($K$2='Bioenergy Calculator'!$X$20,AD31,IF($K$2='Bioenergy Calculator'!$X$24,'Conversion Tables'!BN31,"NA"))))))</f>
        <v>NA</v>
      </c>
      <c r="N31" s="334" t="str">
        <f>IF($K$2='Bioenergy Calculator'!$X$21,AA31,IF($K$2='Bioenergy Calculator'!$X$22,BK31,IF($K$2='Bioenergy Calculator'!$X$23,BG31,IF($K$2='Bioenergy Calculator'!$X$19,W31,IF($K$2='Bioenergy Calculator'!$X$20,AE31,IF($K$2='Bioenergy Calculator'!$X$24,'Conversion Tables'!BO31,"NA"))))))</f>
        <v>NA</v>
      </c>
      <c r="O31" s="84"/>
      <c r="P31" s="68" t="s">
        <v>431</v>
      </c>
      <c r="Q31" s="51" t="s">
        <v>431</v>
      </c>
      <c r="R31" s="51" t="s">
        <v>431</v>
      </c>
      <c r="S31" s="65" t="s">
        <v>431</v>
      </c>
      <c r="T31" s="51" t="s">
        <v>431</v>
      </c>
      <c r="U31" s="51" t="s">
        <v>431</v>
      </c>
      <c r="V31" s="51" t="s">
        <v>431</v>
      </c>
      <c r="W31" s="65" t="s">
        <v>431</v>
      </c>
      <c r="X31" s="146" t="s">
        <v>431</v>
      </c>
      <c r="Y31" s="146" t="s">
        <v>431</v>
      </c>
      <c r="Z31" s="146" t="s">
        <v>431</v>
      </c>
      <c r="AA31" s="257" t="s">
        <v>431</v>
      </c>
      <c r="AB31" s="51" t="s">
        <v>431</v>
      </c>
      <c r="AC31" s="51" t="s">
        <v>431</v>
      </c>
      <c r="AD31" s="51" t="s">
        <v>431</v>
      </c>
      <c r="AE31" s="51" t="s">
        <v>431</v>
      </c>
      <c r="AF31" s="668">
        <f>('Energy Content Assumptions'!$B$69/'Technology Assumptions'!B$4)/1000</f>
        <v>13.648</v>
      </c>
      <c r="AG31" s="66">
        <f>('Energy Content Assumptions'!$B$69/'Technology Assumptions'!C$4)/1000</f>
        <v>13.648</v>
      </c>
      <c r="AH31" s="66">
        <f>('Energy Content Assumptions'!$B$69/'Technology Assumptions'!D$4)/1000</f>
        <v>13.648</v>
      </c>
      <c r="AI31" s="69">
        <f>('Energy Content Assumptions'!$B$69/'Technology Assumptions'!E$4)/1000</f>
        <v>13.648</v>
      </c>
      <c r="AJ31" s="66" t="s">
        <v>431</v>
      </c>
      <c r="AK31" s="66" t="s">
        <v>431</v>
      </c>
      <c r="AL31" s="66" t="s">
        <v>431</v>
      </c>
      <c r="AM31" s="69" t="s">
        <v>431</v>
      </c>
      <c r="AN31" s="51" t="s">
        <v>431</v>
      </c>
      <c r="AO31" s="51" t="s">
        <v>431</v>
      </c>
      <c r="AP31" s="51" t="s">
        <v>431</v>
      </c>
      <c r="AQ31" s="65" t="s">
        <v>431</v>
      </c>
      <c r="AR31" s="66">
        <f>('Energy Content Assumptions'!$B$69/'Technology Assumptions'!B$6)/1000</f>
        <v>9.7485714285714291</v>
      </c>
      <c r="AS31" s="66">
        <f>('Energy Content Assumptions'!$B$69/'Technology Assumptions'!C$6)/1000</f>
        <v>9.7485714285714291</v>
      </c>
      <c r="AT31" s="66">
        <f>('Energy Content Assumptions'!$B$69/'Technology Assumptions'!D$6)/1000</f>
        <v>9.7485714285714291</v>
      </c>
      <c r="AU31" s="69">
        <f>('Energy Content Assumptions'!$B$69/'Technology Assumptions'!E$6)/1000</f>
        <v>9.7485714285714291</v>
      </c>
      <c r="AV31" s="51" t="s">
        <v>431</v>
      </c>
      <c r="AW31" s="51" t="s">
        <v>431</v>
      </c>
      <c r="AX31" s="51" t="s">
        <v>431</v>
      </c>
      <c r="AY31" s="65" t="s">
        <v>431</v>
      </c>
      <c r="AZ31" s="88">
        <f>('Energy Content Assumptions'!$B$69/'Technology Assumptions'!B$11)/1000</f>
        <v>18.052910052910054</v>
      </c>
      <c r="BA31" s="88">
        <f>('Energy Content Assumptions'!$B$69/'Technology Assumptions'!C$11)/1000</f>
        <v>18.052910052910054</v>
      </c>
      <c r="BB31" s="88">
        <f>('Energy Content Assumptions'!$B$69/'Technology Assumptions'!D$11)/1000</f>
        <v>18.052910052910054</v>
      </c>
      <c r="BC31" s="89">
        <f>('Energy Content Assumptions'!$B$69/'Technology Assumptions'!E$11)/1000</f>
        <v>18.052910052910054</v>
      </c>
      <c r="BD31" s="316">
        <f>'Technology Assumptions'!B$27</f>
        <v>45.6</v>
      </c>
      <c r="BE31" s="316">
        <f>'Technology Assumptions'!C$27</f>
        <v>45.6</v>
      </c>
      <c r="BF31" s="316">
        <f>'Technology Assumptions'!D$27</f>
        <v>45.6</v>
      </c>
      <c r="BG31" s="326">
        <f>'Technology Assumptions'!E$27</f>
        <v>45.6</v>
      </c>
      <c r="BH31" s="675" t="s">
        <v>431</v>
      </c>
      <c r="BI31" s="675" t="s">
        <v>431</v>
      </c>
      <c r="BJ31" s="675" t="s">
        <v>431</v>
      </c>
      <c r="BK31" s="676" t="s">
        <v>431</v>
      </c>
      <c r="BL31" s="51" t="s">
        <v>431</v>
      </c>
      <c r="BM31" s="51" t="s">
        <v>431</v>
      </c>
      <c r="BN31" s="51" t="s">
        <v>431</v>
      </c>
      <c r="BO31" s="140" t="s">
        <v>431</v>
      </c>
    </row>
    <row r="32" spans="1:67" x14ac:dyDescent="0.25">
      <c r="A32" s="1093"/>
      <c r="B32" s="844" t="s">
        <v>1313</v>
      </c>
      <c r="C32" s="32">
        <f>'Energy Content Assumptions'!B29*2000/1000000</f>
        <v>17.7</v>
      </c>
      <c r="D32" s="32" t="s">
        <v>261</v>
      </c>
      <c r="E32" s="119"/>
      <c r="F32" s="333" t="str">
        <f>IF($F$2='Bioenergy Calculator'!$X$9,AF32,IF($F$2='Bioenergy Calculator'!$X$10,AJ32,IF($F$2='Bioenergy Calculator'!$X$11,AN32,IF($F$2='Bioenergy Calculator'!$X$12,P32,IF($F$2='Bioenergy Calculator'!$X$13,AR32,IF($F$2='Bioenergy Calculator'!$X$14,AV32,IF($F$2='Bioenergy Calculator'!$X$15,AZ32,"NA")))))))</f>
        <v>NA</v>
      </c>
      <c r="G32" s="66" t="str">
        <f>IF($F$2='Bioenergy Calculator'!$X$9,AG32,IF($F$2='Bioenergy Calculator'!$X$10,AK32,IF($F$2='Bioenergy Calculator'!$X$11,AO32,IF($F$2='Bioenergy Calculator'!$X$12,Q32,IF($F$2='Bioenergy Calculator'!$X$13,AS32,IF($F$2='Bioenergy Calculator'!$X$14,AW32,IF($F$2='Bioenergy Calculator'!$X$15,BA32,"NA")))))))</f>
        <v>NA</v>
      </c>
      <c r="H32" s="66" t="str">
        <f>IF($F$2='Bioenergy Calculator'!$X$9,AH32,IF($F$2='Bioenergy Calculator'!$X$10,AL32,IF($F$2='Bioenergy Calculator'!$X$11,AP32,IF($F$2='Bioenergy Calculator'!$X$12,R32,IF($F$2='Bioenergy Calculator'!$X$13,AT32,IF($F$2='Bioenergy Calculator'!$X$14,AX32,IF($F$2='Bioenergy Calculator'!$X$15,BB32,"NA")))))))</f>
        <v>NA</v>
      </c>
      <c r="I32" s="334" t="str">
        <f>IF($F$2='Bioenergy Calculator'!$X$9,AI32,IF($F$2='Bioenergy Calculator'!$X$10,AM32,IF($F$2='Bioenergy Calculator'!$X$11,AQ32,IF($F$2='Bioenergy Calculator'!$X$12,S32,IF($F$2='Bioenergy Calculator'!$X$13,AU32,IF($F$2='Bioenergy Calculator'!$X$14,AY32,IF($F$2='Bioenergy Calculator'!$X$15,BC32,"NA")))))))</f>
        <v>NA</v>
      </c>
      <c r="J32" s="117"/>
      <c r="K32" s="333" t="str">
        <f>IF($K$2='Bioenergy Calculator'!$X$21,X32,IF($K$2='Bioenergy Calculator'!$X$22,BH32,IF($K$2='Bioenergy Calculator'!$X$23,BD32,IF($K$2='Bioenergy Calculator'!$X$19,T32,IF($K$2='Bioenergy Calculator'!$X$20,AB32,IF($K$2='Bioenergy Calculator'!$X$24,'Conversion Tables'!BL32,"NA"))))))</f>
        <v>NA</v>
      </c>
      <c r="L32" s="66" t="str">
        <f>IF($K$2='Bioenergy Calculator'!$X$21,Y32,IF($K$2='Bioenergy Calculator'!$X$22,BI32,IF($K$2='Bioenergy Calculator'!$X$23,BE32,IF($K$2='Bioenergy Calculator'!$X$19,U32,IF($K$2='Bioenergy Calculator'!$X$20,AC32,IF($K$2='Bioenergy Calculator'!$X$24,'Conversion Tables'!BM32,"NA"))))))</f>
        <v>NA</v>
      </c>
      <c r="M32" s="66" t="str">
        <f>IF($K$2='Bioenergy Calculator'!$X$21,Z32,IF($K$2='Bioenergy Calculator'!$X$22,BJ32,IF($K$2='Bioenergy Calculator'!$X$23,BF32,IF($K$2='Bioenergy Calculator'!$X$19,V32,IF($K$2='Bioenergy Calculator'!$X$20,AD32,IF($K$2='Bioenergy Calculator'!$X$24,'Conversion Tables'!BN32,"NA"))))))</f>
        <v>NA</v>
      </c>
      <c r="N32" s="334" t="str">
        <f>IF($K$2='Bioenergy Calculator'!$X$21,AA32,IF($K$2='Bioenergy Calculator'!$X$22,BK32,IF($K$2='Bioenergy Calculator'!$X$23,BG32,IF($K$2='Bioenergy Calculator'!$X$19,W32,IF($K$2='Bioenergy Calculator'!$X$20,AE32,IF($K$2='Bioenergy Calculator'!$X$24,'Conversion Tables'!BO32,"NA"))))))</f>
        <v>NA</v>
      </c>
      <c r="O32" s="84"/>
      <c r="P32" s="68" t="s">
        <v>431</v>
      </c>
      <c r="Q32" s="51" t="s">
        <v>431</v>
      </c>
      <c r="R32" s="51" t="s">
        <v>431</v>
      </c>
      <c r="S32" s="65" t="s">
        <v>431</v>
      </c>
      <c r="T32" s="51" t="s">
        <v>431</v>
      </c>
      <c r="U32" s="51" t="s">
        <v>431</v>
      </c>
      <c r="V32" s="51" t="s">
        <v>431</v>
      </c>
      <c r="W32" s="65" t="s">
        <v>431</v>
      </c>
      <c r="X32" s="252">
        <f>'Fuel Yields Eth. and DA Hydrol.'!I21</f>
        <v>59.465648854961835</v>
      </c>
      <c r="Y32" s="252">
        <f>'Fuel Yields Eth. and DA Hydrol.'!J21</f>
        <v>71.341476178514611</v>
      </c>
      <c r="Z32" s="252">
        <f>'Fuel Yields Eth. and DA Hydrol.'!K21</f>
        <v>81.533115632588121</v>
      </c>
      <c r="AA32" s="255">
        <f>'Fuel Yields Eth. and DA Hydrol.'!L21</f>
        <v>91.724755086661645</v>
      </c>
      <c r="AB32" s="51" t="s">
        <v>431</v>
      </c>
      <c r="AC32" s="51" t="s">
        <v>431</v>
      </c>
      <c r="AD32" s="51" t="s">
        <v>431</v>
      </c>
      <c r="AE32" s="65" t="s">
        <v>431</v>
      </c>
      <c r="AF32" s="668">
        <f>('Energy Content Assumptions'!$B$69/'Technology Assumptions'!B$4)/1000</f>
        <v>13.648</v>
      </c>
      <c r="AG32" s="66">
        <f>('Energy Content Assumptions'!$B$69/'Technology Assumptions'!C$4)/1000</f>
        <v>13.648</v>
      </c>
      <c r="AH32" s="66">
        <f>('Energy Content Assumptions'!$B$69/'Technology Assumptions'!D$4)/1000</f>
        <v>13.648</v>
      </c>
      <c r="AI32" s="69">
        <f>('Energy Content Assumptions'!$B$69/'Technology Assumptions'!E$4)/1000</f>
        <v>13.648</v>
      </c>
      <c r="AJ32" s="66" t="s">
        <v>431</v>
      </c>
      <c r="AK32" s="66" t="s">
        <v>431</v>
      </c>
      <c r="AL32" s="66" t="s">
        <v>431</v>
      </c>
      <c r="AM32" s="69" t="s">
        <v>431</v>
      </c>
      <c r="AN32" s="66">
        <f>('Energy Content Assumptions'!$B$69/'Technology Assumptions'!B$7)/1000</f>
        <v>8.7487179487179496</v>
      </c>
      <c r="AO32" s="66">
        <f>('Energy Content Assumptions'!$B$69/'Technology Assumptions'!C$7)/1000</f>
        <v>8.7487179487179496</v>
      </c>
      <c r="AP32" s="66">
        <f>('Energy Content Assumptions'!$B$69/'Technology Assumptions'!D$7)/1000</f>
        <v>8.7487179487179496</v>
      </c>
      <c r="AQ32" s="69">
        <f>('Energy Content Assumptions'!$B$69/'Technology Assumptions'!E$7)/1000</f>
        <v>8.7487179487179496</v>
      </c>
      <c r="AR32" s="137">
        <f>('Energy Content Assumptions'!$B$69/'Technology Assumptions'!B$6)/1000</f>
        <v>9.7485714285714291</v>
      </c>
      <c r="AS32" s="137">
        <f>('Energy Content Assumptions'!$B$69/'Technology Assumptions'!C$6)/1000</f>
        <v>9.7485714285714291</v>
      </c>
      <c r="AT32" s="137">
        <f>('Energy Content Assumptions'!$B$69/'Technology Assumptions'!D$6)/1000</f>
        <v>9.7485714285714291</v>
      </c>
      <c r="AU32" s="138">
        <f>('Energy Content Assumptions'!$B$69/'Technology Assumptions'!E$6)/1000</f>
        <v>9.7485714285714291</v>
      </c>
      <c r="AV32" s="51" t="s">
        <v>431</v>
      </c>
      <c r="AW32" s="51" t="s">
        <v>431</v>
      </c>
      <c r="AX32" s="51" t="s">
        <v>431</v>
      </c>
      <c r="AY32" s="65" t="s">
        <v>431</v>
      </c>
      <c r="AZ32" s="78">
        <f>('Energy Content Assumptions'!$B$69/'Technology Assumptions'!B$11)/1000</f>
        <v>18.052910052910054</v>
      </c>
      <c r="BA32" s="78">
        <f>('Energy Content Assumptions'!$B$69/'Technology Assumptions'!C$11)/1000</f>
        <v>18.052910052910054</v>
      </c>
      <c r="BB32" s="78">
        <f>('Energy Content Assumptions'!$B$69/'Technology Assumptions'!D$11)/1000</f>
        <v>18.052910052910054</v>
      </c>
      <c r="BC32" s="79">
        <f>('Energy Content Assumptions'!$B$69/'Technology Assumptions'!E$11)/1000</f>
        <v>18.052910052910054</v>
      </c>
      <c r="BD32" s="316">
        <f>'Technology Assumptions'!B$27</f>
        <v>45.6</v>
      </c>
      <c r="BE32" s="316">
        <f>'Technology Assumptions'!C$27</f>
        <v>45.6</v>
      </c>
      <c r="BF32" s="316">
        <f>'Technology Assumptions'!D$27</f>
        <v>45.6</v>
      </c>
      <c r="BG32" s="326">
        <f>'Technology Assumptions'!E$27</f>
        <v>45.6</v>
      </c>
      <c r="BH32" s="252">
        <f>'Fuel Yields Eth. and DA Hydrol.'!$F$21</f>
        <v>65.788736340711679</v>
      </c>
      <c r="BI32" s="252">
        <f>'Fuel Yields Eth. and DA Hydrol.'!$F$21</f>
        <v>65.788736340711679</v>
      </c>
      <c r="BJ32" s="252">
        <f>'Fuel Yields Eth. and DA Hydrol.'!$F$21</f>
        <v>65.788736340711679</v>
      </c>
      <c r="BK32" s="255">
        <f>'Fuel Yields Eth. and DA Hydrol.'!$F$21</f>
        <v>65.788736340711679</v>
      </c>
      <c r="BL32" s="51" t="s">
        <v>431</v>
      </c>
      <c r="BM32" s="51" t="s">
        <v>431</v>
      </c>
      <c r="BN32" s="51" t="s">
        <v>431</v>
      </c>
      <c r="BO32" s="140" t="s">
        <v>431</v>
      </c>
    </row>
    <row r="33" spans="1:67" ht="12.75" customHeight="1" x14ac:dyDescent="0.25">
      <c r="A33" s="1093"/>
      <c r="B33" s="4" t="s">
        <v>280</v>
      </c>
      <c r="C33" s="32"/>
      <c r="D33" s="32"/>
      <c r="E33" s="119"/>
      <c r="F33" s="333"/>
      <c r="G33" s="66"/>
      <c r="H33" s="66"/>
      <c r="I33" s="334"/>
      <c r="J33" s="117"/>
      <c r="K33" s="333"/>
      <c r="L33" s="66"/>
      <c r="M33" s="66"/>
      <c r="N33" s="334"/>
      <c r="O33" s="84"/>
      <c r="P33" s="68"/>
      <c r="Q33" s="51"/>
      <c r="R33" s="51"/>
      <c r="S33" s="65"/>
      <c r="T33" s="51"/>
      <c r="U33" s="51"/>
      <c r="V33" s="51"/>
      <c r="W33" s="65"/>
      <c r="X33" s="146"/>
      <c r="Y33" s="146"/>
      <c r="Z33" s="146"/>
      <c r="AA33" s="257"/>
      <c r="AB33" s="51"/>
      <c r="AC33" s="51"/>
      <c r="AD33" s="51"/>
      <c r="AE33" s="65"/>
      <c r="AF33" s="68"/>
      <c r="AG33" s="51"/>
      <c r="AH33" s="51"/>
      <c r="AI33" s="65"/>
      <c r="AJ33" s="51"/>
      <c r="AK33" s="51"/>
      <c r="AL33" s="51"/>
      <c r="AM33" s="65"/>
      <c r="AN33" s="66"/>
      <c r="AO33" s="66"/>
      <c r="AP33" s="66"/>
      <c r="AQ33" s="69"/>
      <c r="AR33" s="51"/>
      <c r="AS33" s="51"/>
      <c r="AT33" s="51"/>
      <c r="AU33" s="65"/>
      <c r="AV33" s="74"/>
      <c r="AW33" s="74"/>
      <c r="AX33" s="74"/>
      <c r="AY33" s="75"/>
      <c r="AZ33" s="51"/>
      <c r="BA33" s="51"/>
      <c r="BB33" s="51"/>
      <c r="BC33" s="65"/>
      <c r="BD33" s="680"/>
      <c r="BE33" s="680"/>
      <c r="BF33" s="680"/>
      <c r="BG33" s="681"/>
      <c r="BH33" s="259"/>
      <c r="BI33" s="259"/>
      <c r="BJ33" s="259"/>
      <c r="BK33" s="325"/>
      <c r="BL33" s="51"/>
      <c r="BM33" s="51"/>
      <c r="BN33" s="51"/>
      <c r="BO33" s="140"/>
    </row>
    <row r="34" spans="1:67" ht="12.75" customHeight="1" x14ac:dyDescent="0.25">
      <c r="A34" s="1093"/>
      <c r="B34" s="677" t="s">
        <v>219</v>
      </c>
      <c r="C34" s="32">
        <f>C29</f>
        <v>16</v>
      </c>
      <c r="D34" s="34" t="str">
        <f>D29</f>
        <v>MMBtu/Dry Ton</v>
      </c>
      <c r="E34" s="157">
        <f>E29</f>
        <v>0</v>
      </c>
      <c r="F34" s="335" t="str">
        <f>IF($F$2='Bioenergy Calculator'!$X$9,AF34,IF($F$2='Bioenergy Calculator'!$X$10,AJ34,IF($F$2='Bioenergy Calculator'!$X$11,AN34,IF($F$2='Bioenergy Calculator'!$X$12,P34,IF($F$2='Bioenergy Calculator'!$X$13,AR34,IF($F$2='Bioenergy Calculator'!$X$14,AV34,IF($F$2='Bioenergy Calculator'!$X$15,AZ34,"NA")))))))</f>
        <v>NA</v>
      </c>
      <c r="G34" s="159" t="str">
        <f>IF($F$2='Bioenergy Calculator'!$X$9,AG34,IF($F$2='Bioenergy Calculator'!$X$10,AK34,IF($F$2='Bioenergy Calculator'!$X$11,AO34,IF($F$2='Bioenergy Calculator'!$X$12,Q34,IF($F$2='Bioenergy Calculator'!$X$13,AS34,IF($F$2='Bioenergy Calculator'!$X$14,AW34,IF($F$2='Bioenergy Calculator'!$X$15,BA34,"NA")))))))</f>
        <v>NA</v>
      </c>
      <c r="H34" s="159" t="str">
        <f>IF($F$2='Bioenergy Calculator'!$X$9,AH34,IF($F$2='Bioenergy Calculator'!$X$10,AL34,IF($F$2='Bioenergy Calculator'!$X$11,AP34,IF($F$2='Bioenergy Calculator'!$X$12,R34,IF($F$2='Bioenergy Calculator'!$X$13,AT34,IF($F$2='Bioenergy Calculator'!$X$14,AX34,IF($F$2='Bioenergy Calculator'!$X$15,BB34,"NA")))))))</f>
        <v>NA</v>
      </c>
      <c r="I34" s="237" t="str">
        <f>IF($F$2='Bioenergy Calculator'!$X$9,AI34,IF($F$2='Bioenergy Calculator'!$X$10,AM34,IF($F$2='Bioenergy Calculator'!$X$11,AQ34,IF($F$2='Bioenergy Calculator'!$X$12,S34,IF($F$2='Bioenergy Calculator'!$X$13,AU34,IF($F$2='Bioenergy Calculator'!$X$14,AY34,IF($F$2='Bioenergy Calculator'!$X$15,BC34,"NA")))))))</f>
        <v>NA</v>
      </c>
      <c r="J34" s="161">
        <f>J29</f>
        <v>0</v>
      </c>
      <c r="K34" s="333" t="str">
        <f>IF($K$2='Bioenergy Calculator'!$X$21,X34,IF($K$2='Bioenergy Calculator'!$X$22,BH34,IF($K$2='Bioenergy Calculator'!$X$23,BD34,IF($K$2='Bioenergy Calculator'!$X$19,T34,IF($K$2='Bioenergy Calculator'!$X$20,AB34,IF($K$2='Bioenergy Calculator'!$X$24,'Conversion Tables'!BL34,"NA"))))))</f>
        <v>NA</v>
      </c>
      <c r="L34" s="66" t="str">
        <f>IF($K$2='Bioenergy Calculator'!$X$21,Y34,IF($K$2='Bioenergy Calculator'!$X$22,BI34,IF($K$2='Bioenergy Calculator'!$X$23,BE34,IF($K$2='Bioenergy Calculator'!$X$19,U34,IF($K$2='Bioenergy Calculator'!$X$20,AC34,IF($K$2='Bioenergy Calculator'!$X$24,'Conversion Tables'!BM34,"NA"))))))</f>
        <v>NA</v>
      </c>
      <c r="M34" s="66" t="str">
        <f>IF($K$2='Bioenergy Calculator'!$X$21,Z34,IF($K$2='Bioenergy Calculator'!$X$22,BJ34,IF($K$2='Bioenergy Calculator'!$X$23,BF34,IF($K$2='Bioenergy Calculator'!$X$19,V34,IF($K$2='Bioenergy Calculator'!$X$20,AD34,IF($K$2='Bioenergy Calculator'!$X$24,'Conversion Tables'!BN34,"NA"))))))</f>
        <v>NA</v>
      </c>
      <c r="N34" s="334" t="str">
        <f>IF($K$2='Bioenergy Calculator'!$X$21,AA34,IF($K$2='Bioenergy Calculator'!$X$22,BK34,IF($K$2='Bioenergy Calculator'!$X$23,BG34,IF($K$2='Bioenergy Calculator'!$X$19,W34,IF($K$2='Bioenergy Calculator'!$X$20,AE34,IF($K$2='Bioenergy Calculator'!$X$24,'Conversion Tables'!BO34,"NA"))))))</f>
        <v>NA</v>
      </c>
      <c r="O34" s="161">
        <f t="shared" ref="O34:W34" si="0">O29</f>
        <v>0</v>
      </c>
      <c r="P34" s="158">
        <f t="shared" si="0"/>
        <v>12.998095238095237</v>
      </c>
      <c r="Q34" s="159">
        <f t="shared" si="0"/>
        <v>12.998095238095237</v>
      </c>
      <c r="R34" s="159">
        <f t="shared" si="0"/>
        <v>12.998095238095237</v>
      </c>
      <c r="S34" s="160">
        <f t="shared" si="0"/>
        <v>12.998095238095237</v>
      </c>
      <c r="T34" s="66" t="str">
        <f t="shared" si="0"/>
        <v>NA</v>
      </c>
      <c r="U34" s="66" t="str">
        <f t="shared" si="0"/>
        <v>NA</v>
      </c>
      <c r="V34" s="66" t="str">
        <f t="shared" si="0"/>
        <v>NA</v>
      </c>
      <c r="W34" s="69" t="str">
        <f t="shared" si="0"/>
        <v>NA</v>
      </c>
      <c r="X34" s="254">
        <f>'Fuel Yields Eth. and DA Hydrol.'!I20</f>
        <v>67.885190839694658</v>
      </c>
      <c r="Y34" s="254">
        <f>'Fuel Yields Eth. and DA Hydrol.'!J20</f>
        <v>81.442476764632005</v>
      </c>
      <c r="Z34" s="254">
        <f>'Fuel Yields Eth. and DA Hydrol.'!K20</f>
        <v>93.077116302436565</v>
      </c>
      <c r="AA34" s="258">
        <f>'Fuel Yields Eth. and DA Hydrol.'!L20</f>
        <v>104.71175584024114</v>
      </c>
      <c r="AB34" s="66" t="str">
        <f t="shared" ref="AB34:BO34" si="1">AB29</f>
        <v>NA</v>
      </c>
      <c r="AC34" s="66" t="str">
        <f t="shared" si="1"/>
        <v>NA</v>
      </c>
      <c r="AD34" s="66" t="str">
        <f t="shared" si="1"/>
        <v>NA</v>
      </c>
      <c r="AE34" s="69" t="str">
        <f t="shared" si="1"/>
        <v>NA</v>
      </c>
      <c r="AF34" s="668" t="str">
        <f t="shared" si="1"/>
        <v>NA</v>
      </c>
      <c r="AG34" s="66" t="str">
        <f t="shared" si="1"/>
        <v>NA</v>
      </c>
      <c r="AH34" s="66" t="str">
        <f t="shared" si="1"/>
        <v>NA</v>
      </c>
      <c r="AI34" s="69" t="str">
        <f t="shared" si="1"/>
        <v>NA</v>
      </c>
      <c r="AJ34" s="66" t="str">
        <f t="shared" si="1"/>
        <v>NA</v>
      </c>
      <c r="AK34" s="66" t="str">
        <f t="shared" si="1"/>
        <v>NA</v>
      </c>
      <c r="AL34" s="66" t="str">
        <f t="shared" si="1"/>
        <v>NA</v>
      </c>
      <c r="AM34" s="69" t="str">
        <f t="shared" si="1"/>
        <v>NA</v>
      </c>
      <c r="AN34" s="66" t="str">
        <f t="shared" si="1"/>
        <v>NA</v>
      </c>
      <c r="AO34" s="66" t="str">
        <f t="shared" si="1"/>
        <v>NA</v>
      </c>
      <c r="AP34" s="66" t="str">
        <f t="shared" si="1"/>
        <v>NA</v>
      </c>
      <c r="AQ34" s="69" t="str">
        <f t="shared" si="1"/>
        <v>NA</v>
      </c>
      <c r="AR34" s="66" t="str">
        <f t="shared" si="1"/>
        <v>NA</v>
      </c>
      <c r="AS34" s="66" t="str">
        <f t="shared" si="1"/>
        <v>NA</v>
      </c>
      <c r="AT34" s="66" t="str">
        <f t="shared" si="1"/>
        <v>NA</v>
      </c>
      <c r="AU34" s="69" t="str">
        <f t="shared" si="1"/>
        <v>NA</v>
      </c>
      <c r="AV34" s="66" t="str">
        <f t="shared" si="1"/>
        <v>NA</v>
      </c>
      <c r="AW34" s="66" t="str">
        <f t="shared" si="1"/>
        <v>NA</v>
      </c>
      <c r="AX34" s="66" t="str">
        <f t="shared" si="1"/>
        <v>NA</v>
      </c>
      <c r="AY34" s="69" t="str">
        <f t="shared" si="1"/>
        <v>NA</v>
      </c>
      <c r="AZ34" s="66" t="str">
        <f t="shared" si="1"/>
        <v>NA</v>
      </c>
      <c r="BA34" s="66" t="str">
        <f t="shared" si="1"/>
        <v>NA</v>
      </c>
      <c r="BB34" s="66" t="str">
        <f t="shared" si="1"/>
        <v>NA</v>
      </c>
      <c r="BC34" s="69" t="str">
        <f t="shared" si="1"/>
        <v>NA</v>
      </c>
      <c r="BD34" s="316">
        <f t="shared" si="1"/>
        <v>41.4</v>
      </c>
      <c r="BE34" s="316">
        <f t="shared" si="1"/>
        <v>41.4</v>
      </c>
      <c r="BF34" s="316">
        <f t="shared" si="1"/>
        <v>41.4</v>
      </c>
      <c r="BG34" s="326">
        <f t="shared" si="1"/>
        <v>41.4</v>
      </c>
      <c r="BH34" s="671">
        <f t="shared" si="1"/>
        <v>53.088260016811432</v>
      </c>
      <c r="BI34" s="671">
        <f t="shared" si="1"/>
        <v>53.088260016811432</v>
      </c>
      <c r="BJ34" s="671">
        <f t="shared" si="1"/>
        <v>53.088260016811432</v>
      </c>
      <c r="BK34" s="672">
        <f t="shared" si="1"/>
        <v>53.088260016811432</v>
      </c>
      <c r="BL34" s="159">
        <f t="shared" si="1"/>
        <v>77.207656425928903</v>
      </c>
      <c r="BM34" s="159">
        <f t="shared" si="1"/>
        <v>77.207656425928903</v>
      </c>
      <c r="BN34" s="159">
        <f t="shared" si="1"/>
        <v>77.207656425928903</v>
      </c>
      <c r="BO34" s="237">
        <f t="shared" si="1"/>
        <v>77.207656425928903</v>
      </c>
    </row>
    <row r="35" spans="1:67" ht="12.75" customHeight="1" x14ac:dyDescent="0.25">
      <c r="A35" s="1093"/>
      <c r="B35" s="11" t="s">
        <v>565</v>
      </c>
      <c r="C35" s="32">
        <f>'Energy Content Assumptions'!B32*2000/1000000</f>
        <v>17.7</v>
      </c>
      <c r="D35" s="32" t="s">
        <v>261</v>
      </c>
      <c r="E35" s="119"/>
      <c r="F35" s="333" t="str">
        <f>IF($F$2='Bioenergy Calculator'!$X$9,AF35,IF($F$2='Bioenergy Calculator'!$X$10,AJ35,IF($F$2='Bioenergy Calculator'!$X$11,AN35,IF($F$2='Bioenergy Calculator'!$X$12,P35,IF($F$2='Bioenergy Calculator'!$X$13,AR35,IF($F$2='Bioenergy Calculator'!$X$14,AV35,IF($F$2='Bioenergy Calculator'!$X$15,AZ35,"NA")))))))</f>
        <v>NA</v>
      </c>
      <c r="G35" s="66" t="str">
        <f>IF($F$2='Bioenergy Calculator'!$X$9,AG35,IF($F$2='Bioenergy Calculator'!$X$10,AK35,IF($F$2='Bioenergy Calculator'!$X$11,AO35,IF($F$2='Bioenergy Calculator'!$X$12,Q35,IF($F$2='Bioenergy Calculator'!$X$13,AS35,IF($F$2='Bioenergy Calculator'!$X$14,AW35,IF($F$2='Bioenergy Calculator'!$X$15,BA35,"NA")))))))</f>
        <v>NA</v>
      </c>
      <c r="H35" s="66" t="str">
        <f>IF($F$2='Bioenergy Calculator'!$X$9,AH35,IF($F$2='Bioenergy Calculator'!$X$10,AL35,IF($F$2='Bioenergy Calculator'!$X$11,AP35,IF($F$2='Bioenergy Calculator'!$X$12,R35,IF($F$2='Bioenergy Calculator'!$X$13,AT35,IF($F$2='Bioenergy Calculator'!$X$14,AX35,IF($F$2='Bioenergy Calculator'!$X$15,BB35,"NA")))))))</f>
        <v>NA</v>
      </c>
      <c r="I35" s="334" t="str">
        <f>IF($F$2='Bioenergy Calculator'!$X$9,AI35,IF($F$2='Bioenergy Calculator'!$X$10,AM35,IF($F$2='Bioenergy Calculator'!$X$11,AQ35,IF($F$2='Bioenergy Calculator'!$X$12,S35,IF($F$2='Bioenergy Calculator'!$X$13,AU35,IF($F$2='Bioenergy Calculator'!$X$14,AY35,IF($F$2='Bioenergy Calculator'!$X$15,BC35,"NA")))))))</f>
        <v>NA</v>
      </c>
      <c r="J35" s="117"/>
      <c r="K35" s="333" t="str">
        <f>IF($K$2='Bioenergy Calculator'!$X$21,X35,IF($K$2='Bioenergy Calculator'!$X$22,BH35,IF($K$2='Bioenergy Calculator'!$X$23,BD35,IF($K$2='Bioenergy Calculator'!$X$19,T35,IF($K$2='Bioenergy Calculator'!$X$20,AB35,IF($K$2='Bioenergy Calculator'!$X$24,'Conversion Tables'!BL35,"NA"))))))</f>
        <v>NA</v>
      </c>
      <c r="L35" s="66" t="str">
        <f>IF($K$2='Bioenergy Calculator'!$X$21,Y35,IF($K$2='Bioenergy Calculator'!$X$22,BI35,IF($K$2='Bioenergy Calculator'!$X$23,BE35,IF($K$2='Bioenergy Calculator'!$X$19,U35,IF($K$2='Bioenergy Calculator'!$X$20,AC35,IF($K$2='Bioenergy Calculator'!$X$24,'Conversion Tables'!BM35,"NA"))))))</f>
        <v>NA</v>
      </c>
      <c r="M35" s="66" t="str">
        <f>IF($K$2='Bioenergy Calculator'!$X$21,Z35,IF($K$2='Bioenergy Calculator'!$X$22,BJ35,IF($K$2='Bioenergy Calculator'!$X$23,BF35,IF($K$2='Bioenergy Calculator'!$X$19,V35,IF($K$2='Bioenergy Calculator'!$X$20,AD35,IF($K$2='Bioenergy Calculator'!$X$24,'Conversion Tables'!BN35,"NA"))))))</f>
        <v>NA</v>
      </c>
      <c r="N35" s="334" t="str">
        <f>IF($K$2='Bioenergy Calculator'!$X$21,AA35,IF($K$2='Bioenergy Calculator'!$X$22,BK35,IF($K$2='Bioenergy Calculator'!$X$23,BG35,IF($K$2='Bioenergy Calculator'!$X$19,W35,IF($K$2='Bioenergy Calculator'!$X$20,AE35,IF($K$2='Bioenergy Calculator'!$X$24,'Conversion Tables'!BO35,"NA"))))))</f>
        <v>NA</v>
      </c>
      <c r="O35" s="84"/>
      <c r="P35" s="68" t="s">
        <v>431</v>
      </c>
      <c r="Q35" s="51" t="s">
        <v>431</v>
      </c>
      <c r="R35" s="51" t="s">
        <v>431</v>
      </c>
      <c r="S35" s="65" t="s">
        <v>431</v>
      </c>
      <c r="T35" s="51" t="s">
        <v>431</v>
      </c>
      <c r="U35" s="51" t="s">
        <v>431</v>
      </c>
      <c r="V35" s="51" t="s">
        <v>431</v>
      </c>
      <c r="W35" s="65" t="s">
        <v>431</v>
      </c>
      <c r="X35" s="252">
        <f>'Fuel Yields Eth. and DA Hydrol.'!I21</f>
        <v>59.465648854961835</v>
      </c>
      <c r="Y35" s="252">
        <f>'Fuel Yields Eth. and DA Hydrol.'!J21</f>
        <v>71.341476178514611</v>
      </c>
      <c r="Z35" s="252">
        <f>'Fuel Yields Eth. and DA Hydrol.'!K21</f>
        <v>81.533115632588121</v>
      </c>
      <c r="AA35" s="255">
        <f>'Fuel Yields Eth. and DA Hydrol.'!L21</f>
        <v>91.724755086661645</v>
      </c>
      <c r="AB35" s="51" t="s">
        <v>431</v>
      </c>
      <c r="AC35" s="51" t="s">
        <v>431</v>
      </c>
      <c r="AD35" s="51" t="s">
        <v>431</v>
      </c>
      <c r="AE35" s="65" t="s">
        <v>431</v>
      </c>
      <c r="AF35" s="668">
        <f>('Energy Content Assumptions'!$B$69/'Technology Assumptions'!B$4)/1000</f>
        <v>13.648</v>
      </c>
      <c r="AG35" s="66">
        <f>('Energy Content Assumptions'!$B$69/'Technology Assumptions'!C$4)/1000</f>
        <v>13.648</v>
      </c>
      <c r="AH35" s="66">
        <f>('Energy Content Assumptions'!$B$69/'Technology Assumptions'!D$4)/1000</f>
        <v>13.648</v>
      </c>
      <c r="AI35" s="69">
        <f>('Energy Content Assumptions'!$B$69/'Technology Assumptions'!E$4)/1000</f>
        <v>13.648</v>
      </c>
      <c r="AJ35" s="66" t="s">
        <v>431</v>
      </c>
      <c r="AK35" s="66" t="s">
        <v>431</v>
      </c>
      <c r="AL35" s="66" t="s">
        <v>431</v>
      </c>
      <c r="AM35" s="69" t="s">
        <v>431</v>
      </c>
      <c r="AN35" s="66">
        <f>('Energy Content Assumptions'!$B$69/'Technology Assumptions'!B$7)/1000</f>
        <v>8.7487179487179496</v>
      </c>
      <c r="AO35" s="66">
        <f>('Energy Content Assumptions'!$B$69/'Technology Assumptions'!C$7)/1000</f>
        <v>8.7487179487179496</v>
      </c>
      <c r="AP35" s="66">
        <f>('Energy Content Assumptions'!$B$69/'Technology Assumptions'!D$7)/1000</f>
        <v>8.7487179487179496</v>
      </c>
      <c r="AQ35" s="69">
        <f>('Energy Content Assumptions'!$B$69/'Technology Assumptions'!E$7)/1000</f>
        <v>8.7487179487179496</v>
      </c>
      <c r="AR35" s="66">
        <f>('Energy Content Assumptions'!$B$69/'Technology Assumptions'!B$6)/1000</f>
        <v>9.7485714285714291</v>
      </c>
      <c r="AS35" s="66">
        <f>('Energy Content Assumptions'!$B$69/'Technology Assumptions'!C$6)/1000</f>
        <v>9.7485714285714291</v>
      </c>
      <c r="AT35" s="66">
        <f>('Energy Content Assumptions'!$B$69/'Technology Assumptions'!D$6)/1000</f>
        <v>9.7485714285714291</v>
      </c>
      <c r="AU35" s="69">
        <f>('Energy Content Assumptions'!$B$69/'Technology Assumptions'!E$6)/1000</f>
        <v>9.7485714285714291</v>
      </c>
      <c r="AV35" s="51" t="s">
        <v>431</v>
      </c>
      <c r="AW35" s="51" t="s">
        <v>431</v>
      </c>
      <c r="AX35" s="51" t="s">
        <v>431</v>
      </c>
      <c r="AY35" s="65" t="s">
        <v>431</v>
      </c>
      <c r="AZ35" s="88">
        <f>('Energy Content Assumptions'!$B$69/'Technology Assumptions'!B$11)/1000</f>
        <v>18.052910052910054</v>
      </c>
      <c r="BA35" s="88">
        <f>('Energy Content Assumptions'!$B$69/'Technology Assumptions'!C$11)/1000</f>
        <v>18.052910052910054</v>
      </c>
      <c r="BB35" s="88">
        <f>('Energy Content Assumptions'!$B$69/'Technology Assumptions'!D$11)/1000</f>
        <v>18.052910052910054</v>
      </c>
      <c r="BC35" s="89">
        <f>('Energy Content Assumptions'!$B$69/'Technology Assumptions'!E$11)/1000</f>
        <v>18.052910052910054</v>
      </c>
      <c r="BD35" s="78">
        <f>'Technology Assumptions'!B$27</f>
        <v>45.6</v>
      </c>
      <c r="BE35" s="78">
        <f>'Technology Assumptions'!C$27</f>
        <v>45.6</v>
      </c>
      <c r="BF35" s="78">
        <f>'Technology Assumptions'!D$27</f>
        <v>45.6</v>
      </c>
      <c r="BG35" s="79">
        <f>'Technology Assumptions'!E$27</f>
        <v>45.6</v>
      </c>
      <c r="BH35" s="673">
        <f>'Fuel Yields Eth. and DA Hydrol.'!$F$21</f>
        <v>65.788736340711679</v>
      </c>
      <c r="BI35" s="673">
        <f>'Fuel Yields Eth. and DA Hydrol.'!$F$21</f>
        <v>65.788736340711679</v>
      </c>
      <c r="BJ35" s="673">
        <f>'Fuel Yields Eth. and DA Hydrol.'!$F$21</f>
        <v>65.788736340711679</v>
      </c>
      <c r="BK35" s="674">
        <f>'Fuel Yields Eth. and DA Hydrol.'!$F$21</f>
        <v>65.788736340711679</v>
      </c>
      <c r="BL35" s="51" t="s">
        <v>431</v>
      </c>
      <c r="BM35" s="51" t="s">
        <v>431</v>
      </c>
      <c r="BN35" s="51" t="s">
        <v>431</v>
      </c>
      <c r="BO35" s="140" t="s">
        <v>431</v>
      </c>
    </row>
    <row r="36" spans="1:67" x14ac:dyDescent="0.25">
      <c r="A36" s="1093"/>
      <c r="B36" s="17" t="s">
        <v>555</v>
      </c>
      <c r="C36" s="32">
        <f>'Energy Content Assumptions'!B33*2000/1000000</f>
        <v>15.89</v>
      </c>
      <c r="D36" s="32" t="s">
        <v>261</v>
      </c>
      <c r="E36" s="119"/>
      <c r="F36" s="333" t="str">
        <f>IF($F$2='Bioenergy Calculator'!$X$9,AF36,IF($F$2='Bioenergy Calculator'!$X$10,AJ36,IF($F$2='Bioenergy Calculator'!$X$11,AN36,IF($F$2='Bioenergy Calculator'!$X$12,P36,IF($F$2='Bioenergy Calculator'!$X$13,AR36,IF($F$2='Bioenergy Calculator'!$X$14,AV36,IF($F$2='Bioenergy Calculator'!$X$15,AZ36,"NA")))))))</f>
        <v>NA</v>
      </c>
      <c r="G36" s="66" t="str">
        <f>IF($F$2='Bioenergy Calculator'!$X$9,AG36,IF($F$2='Bioenergy Calculator'!$X$10,AK36,IF($F$2='Bioenergy Calculator'!$X$11,AO36,IF($F$2='Bioenergy Calculator'!$X$12,Q36,IF($F$2='Bioenergy Calculator'!$X$13,AS36,IF($F$2='Bioenergy Calculator'!$X$14,AW36,IF($F$2='Bioenergy Calculator'!$X$15,BA36,"NA")))))))</f>
        <v>NA</v>
      </c>
      <c r="H36" s="66" t="str">
        <f>IF($F$2='Bioenergy Calculator'!$X$9,AH36,IF($F$2='Bioenergy Calculator'!$X$10,AL36,IF($F$2='Bioenergy Calculator'!$X$11,AP36,IF($F$2='Bioenergy Calculator'!$X$12,R36,IF($F$2='Bioenergy Calculator'!$X$13,AT36,IF($F$2='Bioenergy Calculator'!$X$14,AX36,IF($F$2='Bioenergy Calculator'!$X$15,BB36,"NA")))))))</f>
        <v>NA</v>
      </c>
      <c r="I36" s="334" t="str">
        <f>IF($F$2='Bioenergy Calculator'!$X$9,AI36,IF($F$2='Bioenergy Calculator'!$X$10,AM36,IF($F$2='Bioenergy Calculator'!$X$11,AQ36,IF($F$2='Bioenergy Calculator'!$X$12,S36,IF($F$2='Bioenergy Calculator'!$X$13,AU36,IF($F$2='Bioenergy Calculator'!$X$14,AY36,IF($F$2='Bioenergy Calculator'!$X$15,BC36,"NA")))))))</f>
        <v>NA</v>
      </c>
      <c r="J36" s="117"/>
      <c r="K36" s="333" t="str">
        <f>IF($K$2='Bioenergy Calculator'!$X$21,X36,IF($K$2='Bioenergy Calculator'!$X$22,BH36,IF($K$2='Bioenergy Calculator'!$X$23,BD36,IF($K$2='Bioenergy Calculator'!$X$19,T36,IF($K$2='Bioenergy Calculator'!$X$20,AB36,IF($K$2='Bioenergy Calculator'!$X$24,'Conversion Tables'!BL36,"NA"))))))</f>
        <v>NA</v>
      </c>
      <c r="L36" s="66" t="str">
        <f>IF($K$2='Bioenergy Calculator'!$X$21,Y36,IF($K$2='Bioenergy Calculator'!$X$22,BI36,IF($K$2='Bioenergy Calculator'!$X$23,BE36,IF($K$2='Bioenergy Calculator'!$X$19,U36,IF($K$2='Bioenergy Calculator'!$X$20,AC36,IF($K$2='Bioenergy Calculator'!$X$24,'Conversion Tables'!BM36,"NA"))))))</f>
        <v>NA</v>
      </c>
      <c r="M36" s="66" t="str">
        <f>IF($K$2='Bioenergy Calculator'!$X$21,Z36,IF($K$2='Bioenergy Calculator'!$X$22,BJ36,IF($K$2='Bioenergy Calculator'!$X$23,BF36,IF($K$2='Bioenergy Calculator'!$X$19,V36,IF($K$2='Bioenergy Calculator'!$X$20,AD36,IF($K$2='Bioenergy Calculator'!$X$24,'Conversion Tables'!BN36,"NA"))))))</f>
        <v>NA</v>
      </c>
      <c r="N36" s="334" t="str">
        <f>IF($K$2='Bioenergy Calculator'!$X$21,AA36,IF($K$2='Bioenergy Calculator'!$X$22,BK36,IF($K$2='Bioenergy Calculator'!$X$23,BG36,IF($K$2='Bioenergy Calculator'!$X$19,W36,IF($K$2='Bioenergy Calculator'!$X$20,AE36,IF($K$2='Bioenergy Calculator'!$X$24,'Conversion Tables'!BO36,"NA"))))))</f>
        <v>NA</v>
      </c>
      <c r="O36" s="84"/>
      <c r="P36" s="68" t="s">
        <v>431</v>
      </c>
      <c r="Q36" s="51" t="s">
        <v>431</v>
      </c>
      <c r="R36" s="51" t="s">
        <v>431</v>
      </c>
      <c r="S36" s="65" t="s">
        <v>431</v>
      </c>
      <c r="T36" s="51" t="s">
        <v>431</v>
      </c>
      <c r="U36" s="51" t="s">
        <v>431</v>
      </c>
      <c r="V36" s="51" t="s">
        <v>431</v>
      </c>
      <c r="W36" s="65" t="s">
        <v>431</v>
      </c>
      <c r="X36" s="252">
        <f>'Fuel Yields Eth. and DA Hydrol.'!I22</f>
        <v>57.927022900763347</v>
      </c>
      <c r="Y36" s="252">
        <f>'Fuel Yields Eth. and DA Hydrol.'!J22</f>
        <v>69.49557272042199</v>
      </c>
      <c r="Z36" s="252">
        <f>'Fuel Yields Eth. and DA Hydrol.'!K22</f>
        <v>79.423511680482278</v>
      </c>
      <c r="AA36" s="255">
        <f>'Fuel Yields Eth. and DA Hydrol.'!L22</f>
        <v>89.351450640542552</v>
      </c>
      <c r="AB36" s="51" t="s">
        <v>431</v>
      </c>
      <c r="AC36" s="51" t="s">
        <v>431</v>
      </c>
      <c r="AD36" s="51" t="s">
        <v>431</v>
      </c>
      <c r="AE36" s="65" t="s">
        <v>431</v>
      </c>
      <c r="AF36" s="668">
        <f>('Energy Content Assumptions'!$B$69/'Technology Assumptions'!B$4)/1000</f>
        <v>13.648</v>
      </c>
      <c r="AG36" s="66">
        <f>('Energy Content Assumptions'!$B$69/'Technology Assumptions'!C$4)/1000</f>
        <v>13.648</v>
      </c>
      <c r="AH36" s="66">
        <f>('Energy Content Assumptions'!$B$69/'Technology Assumptions'!D$4)/1000</f>
        <v>13.648</v>
      </c>
      <c r="AI36" s="69">
        <f>('Energy Content Assumptions'!$B$69/'Technology Assumptions'!E$4)/1000</f>
        <v>13.648</v>
      </c>
      <c r="AJ36" s="66" t="s">
        <v>431</v>
      </c>
      <c r="AK36" s="66" t="s">
        <v>431</v>
      </c>
      <c r="AL36" s="66" t="s">
        <v>431</v>
      </c>
      <c r="AM36" s="69" t="s">
        <v>431</v>
      </c>
      <c r="AN36" s="51" t="s">
        <v>431</v>
      </c>
      <c r="AO36" s="51" t="s">
        <v>431</v>
      </c>
      <c r="AP36" s="51" t="s">
        <v>431</v>
      </c>
      <c r="AQ36" s="65" t="s">
        <v>431</v>
      </c>
      <c r="AR36" s="66">
        <f>('Energy Content Assumptions'!$B$69/'Technology Assumptions'!B$6)/1000</f>
        <v>9.7485714285714291</v>
      </c>
      <c r="AS36" s="66">
        <f>('Energy Content Assumptions'!$B$69/'Technology Assumptions'!C$6)/1000</f>
        <v>9.7485714285714291</v>
      </c>
      <c r="AT36" s="66">
        <f>('Energy Content Assumptions'!$B$69/'Technology Assumptions'!D$6)/1000</f>
        <v>9.7485714285714291</v>
      </c>
      <c r="AU36" s="69">
        <f>('Energy Content Assumptions'!$B$69/'Technology Assumptions'!E$6)/1000</f>
        <v>9.7485714285714291</v>
      </c>
      <c r="AV36" s="51" t="s">
        <v>431</v>
      </c>
      <c r="AW36" s="51" t="s">
        <v>431</v>
      </c>
      <c r="AX36" s="51" t="s">
        <v>431</v>
      </c>
      <c r="AY36" s="65" t="s">
        <v>431</v>
      </c>
      <c r="AZ36" s="88">
        <f>('Energy Content Assumptions'!$B$69/'Technology Assumptions'!B$11)/1000</f>
        <v>18.052910052910054</v>
      </c>
      <c r="BA36" s="88">
        <f>('Energy Content Assumptions'!$B$69/'Technology Assumptions'!C$11)/1000</f>
        <v>18.052910052910054</v>
      </c>
      <c r="BB36" s="88">
        <f>('Energy Content Assumptions'!$B$69/'Technology Assumptions'!D$11)/1000</f>
        <v>18.052910052910054</v>
      </c>
      <c r="BC36" s="89">
        <f>('Energy Content Assumptions'!$B$69/'Technology Assumptions'!E$11)/1000</f>
        <v>18.052910052910054</v>
      </c>
      <c r="BD36" s="78">
        <f>'Technology Assumptions'!B$27</f>
        <v>45.6</v>
      </c>
      <c r="BE36" s="78">
        <f>'Technology Assumptions'!C$27</f>
        <v>45.6</v>
      </c>
      <c r="BF36" s="78">
        <f>'Technology Assumptions'!D$27</f>
        <v>45.6</v>
      </c>
      <c r="BG36" s="79">
        <f>'Technology Assumptions'!E$27</f>
        <v>45.6</v>
      </c>
      <c r="BH36" s="671">
        <f>'Fuel Yields Eth. and DA Hydrol.'!$F$22</f>
        <v>52.243205379658164</v>
      </c>
      <c r="BI36" s="671">
        <f>'Fuel Yields Eth. and DA Hydrol.'!$F$22</f>
        <v>52.243205379658164</v>
      </c>
      <c r="BJ36" s="671">
        <f>'Fuel Yields Eth. and DA Hydrol.'!$F$22</f>
        <v>52.243205379658164</v>
      </c>
      <c r="BK36" s="672">
        <f>'Fuel Yields Eth. and DA Hydrol.'!$F$22</f>
        <v>52.243205379658164</v>
      </c>
      <c r="BL36" s="51" t="s">
        <v>431</v>
      </c>
      <c r="BM36" s="51" t="s">
        <v>431</v>
      </c>
      <c r="BN36" s="51" t="s">
        <v>431</v>
      </c>
      <c r="BO36" s="140" t="s">
        <v>431</v>
      </c>
    </row>
    <row r="37" spans="1:67" x14ac:dyDescent="0.25">
      <c r="A37" s="1093"/>
      <c r="B37" s="17" t="s">
        <v>556</v>
      </c>
      <c r="C37" s="32">
        <f>'Energy Content Assumptions'!B34*2000/1000000</f>
        <v>14.522</v>
      </c>
      <c r="D37" s="32" t="s">
        <v>261</v>
      </c>
      <c r="E37" s="119"/>
      <c r="F37" s="333" t="str">
        <f>IF($F$2='Bioenergy Calculator'!$X$9,AF37,IF($F$2='Bioenergy Calculator'!$X$10,AJ37,IF($F$2='Bioenergy Calculator'!$X$11,AN37,IF($F$2='Bioenergy Calculator'!$X$12,P37,IF($F$2='Bioenergy Calculator'!$X$13,AR37,IF($F$2='Bioenergy Calculator'!$X$14,AV37,IF($F$2='Bioenergy Calculator'!$X$15,AZ37,"NA")))))))</f>
        <v>NA</v>
      </c>
      <c r="G37" s="66" t="str">
        <f>IF($F$2='Bioenergy Calculator'!$X$9,AG37,IF($F$2='Bioenergy Calculator'!$X$10,AK37,IF($F$2='Bioenergy Calculator'!$X$11,AO37,IF($F$2='Bioenergy Calculator'!$X$12,Q37,IF($F$2='Bioenergy Calculator'!$X$13,AS37,IF($F$2='Bioenergy Calculator'!$X$14,AW37,IF($F$2='Bioenergy Calculator'!$X$15,BA37,"NA")))))))</f>
        <v>NA</v>
      </c>
      <c r="H37" s="66" t="str">
        <f>IF($F$2='Bioenergy Calculator'!$X$9,AH37,IF($F$2='Bioenergy Calculator'!$X$10,AL37,IF($F$2='Bioenergy Calculator'!$X$11,AP37,IF($F$2='Bioenergy Calculator'!$X$12,R37,IF($F$2='Bioenergy Calculator'!$X$13,AT37,IF($F$2='Bioenergy Calculator'!$X$14,AX37,IF($F$2='Bioenergy Calculator'!$X$15,BB37,"NA")))))))</f>
        <v>NA</v>
      </c>
      <c r="I37" s="334" t="str">
        <f>IF($F$2='Bioenergy Calculator'!$X$9,AI37,IF($F$2='Bioenergy Calculator'!$X$10,AM37,IF($F$2='Bioenergy Calculator'!$X$11,AQ37,IF($F$2='Bioenergy Calculator'!$X$12,S37,IF($F$2='Bioenergy Calculator'!$X$13,AU37,IF($F$2='Bioenergy Calculator'!$X$14,AY37,IF($F$2='Bioenergy Calculator'!$X$15,BC37,"NA")))))))</f>
        <v>NA</v>
      </c>
      <c r="J37" s="117"/>
      <c r="K37" s="333" t="str">
        <f>IF($K$2='Bioenergy Calculator'!$X$21,X37,IF($K$2='Bioenergy Calculator'!$X$22,BH37,IF($K$2='Bioenergy Calculator'!$X$23,BD37,IF($K$2='Bioenergy Calculator'!$X$19,T37,IF($K$2='Bioenergy Calculator'!$X$20,AB37,IF($K$2='Bioenergy Calculator'!$X$24,'Conversion Tables'!BL37,"NA"))))))</f>
        <v>NA</v>
      </c>
      <c r="L37" s="66" t="str">
        <f>IF($K$2='Bioenergy Calculator'!$X$21,Y37,IF($K$2='Bioenergy Calculator'!$X$22,BI37,IF($K$2='Bioenergy Calculator'!$X$23,BE37,IF($K$2='Bioenergy Calculator'!$X$19,U37,IF($K$2='Bioenergy Calculator'!$X$20,AC37,IF($K$2='Bioenergy Calculator'!$X$24,'Conversion Tables'!BM37,"NA"))))))</f>
        <v>NA</v>
      </c>
      <c r="M37" s="66" t="str">
        <f>IF($K$2='Bioenergy Calculator'!$X$21,Z37,IF($K$2='Bioenergy Calculator'!$X$22,BJ37,IF($K$2='Bioenergy Calculator'!$X$23,BF37,IF($K$2='Bioenergy Calculator'!$X$19,V37,IF($K$2='Bioenergy Calculator'!$X$20,AD37,IF($K$2='Bioenergy Calculator'!$X$24,'Conversion Tables'!BN37,"NA"))))))</f>
        <v>NA</v>
      </c>
      <c r="N37" s="334" t="str">
        <f>IF($K$2='Bioenergy Calculator'!$X$21,AA37,IF($K$2='Bioenergy Calculator'!$X$22,BK37,IF($K$2='Bioenergy Calculator'!$X$23,BG37,IF($K$2='Bioenergy Calculator'!$X$19,W37,IF($K$2='Bioenergy Calculator'!$X$20,AE37,IF($K$2='Bioenergy Calculator'!$X$24,'Conversion Tables'!BO37,"NA"))))))</f>
        <v>NA</v>
      </c>
      <c r="O37" s="84"/>
      <c r="P37" s="68" t="s">
        <v>431</v>
      </c>
      <c r="Q37" s="51" t="s">
        <v>431</v>
      </c>
      <c r="R37" s="51" t="s">
        <v>431</v>
      </c>
      <c r="S37" s="65" t="s">
        <v>431</v>
      </c>
      <c r="T37" s="51" t="s">
        <v>431</v>
      </c>
      <c r="U37" s="51" t="s">
        <v>431</v>
      </c>
      <c r="V37" s="51" t="s">
        <v>431</v>
      </c>
      <c r="W37" s="65" t="s">
        <v>431</v>
      </c>
      <c r="X37" s="252">
        <f>'Fuel Yields Eth. and DA Hydrol.'!I24</f>
        <v>83.609770992366407</v>
      </c>
      <c r="Y37" s="252">
        <f>'Fuel Yields Eth. and DA Hydrol.'!J24</f>
        <v>100.30739763878421</v>
      </c>
      <c r="Z37" s="252">
        <f>'Fuel Yields Eth. and DA Hydrol.'!K24</f>
        <v>114.63702587289625</v>
      </c>
      <c r="AA37" s="255">
        <f>'Fuel Yields Eth. and DA Hydrol.'!L24</f>
        <v>128.96665410700828</v>
      </c>
      <c r="AB37" s="51" t="s">
        <v>431</v>
      </c>
      <c r="AC37" s="51" t="s">
        <v>431</v>
      </c>
      <c r="AD37" s="51" t="s">
        <v>431</v>
      </c>
      <c r="AE37" s="65" t="s">
        <v>431</v>
      </c>
      <c r="AF37" s="668">
        <f>('Energy Content Assumptions'!$B$69/'Technology Assumptions'!B$4)/1000</f>
        <v>13.648</v>
      </c>
      <c r="AG37" s="66">
        <f>('Energy Content Assumptions'!$B$69/'Technology Assumptions'!C$4)/1000</f>
        <v>13.648</v>
      </c>
      <c r="AH37" s="66">
        <f>('Energy Content Assumptions'!$B$69/'Technology Assumptions'!D$4)/1000</f>
        <v>13.648</v>
      </c>
      <c r="AI37" s="69">
        <f>('Energy Content Assumptions'!$B$69/'Technology Assumptions'!E$4)/1000</f>
        <v>13.648</v>
      </c>
      <c r="AJ37" s="66" t="s">
        <v>431</v>
      </c>
      <c r="AK37" s="66" t="s">
        <v>431</v>
      </c>
      <c r="AL37" s="66" t="s">
        <v>431</v>
      </c>
      <c r="AM37" s="69" t="s">
        <v>431</v>
      </c>
      <c r="AN37" s="51" t="s">
        <v>431</v>
      </c>
      <c r="AO37" s="51" t="s">
        <v>431</v>
      </c>
      <c r="AP37" s="51" t="s">
        <v>431</v>
      </c>
      <c r="AQ37" s="65" t="s">
        <v>431</v>
      </c>
      <c r="AR37" s="66">
        <f>('Energy Content Assumptions'!$B$69/'Technology Assumptions'!B$6)/1000</f>
        <v>9.7485714285714291</v>
      </c>
      <c r="AS37" s="66">
        <f>('Energy Content Assumptions'!$B$69/'Technology Assumptions'!C$6)/1000</f>
        <v>9.7485714285714291</v>
      </c>
      <c r="AT37" s="66">
        <f>('Energy Content Assumptions'!$B$69/'Technology Assumptions'!D$6)/1000</f>
        <v>9.7485714285714291</v>
      </c>
      <c r="AU37" s="69">
        <f>('Energy Content Assumptions'!$B$69/'Technology Assumptions'!E$6)/1000</f>
        <v>9.7485714285714291</v>
      </c>
      <c r="AV37" s="51" t="s">
        <v>431</v>
      </c>
      <c r="AW37" s="51" t="s">
        <v>431</v>
      </c>
      <c r="AX37" s="51" t="s">
        <v>431</v>
      </c>
      <c r="AY37" s="65" t="s">
        <v>431</v>
      </c>
      <c r="AZ37" s="88">
        <f>('Energy Content Assumptions'!$B$69/'Technology Assumptions'!B$11)/1000</f>
        <v>18.052910052910054</v>
      </c>
      <c r="BA37" s="88">
        <f>('Energy Content Assumptions'!$B$69/'Technology Assumptions'!C$11)/1000</f>
        <v>18.052910052910054</v>
      </c>
      <c r="BB37" s="88">
        <f>('Energy Content Assumptions'!$B$69/'Technology Assumptions'!D$11)/1000</f>
        <v>18.052910052910054</v>
      </c>
      <c r="BC37" s="89">
        <f>('Energy Content Assumptions'!$B$69/'Technology Assumptions'!E$11)/1000</f>
        <v>18.052910052910054</v>
      </c>
      <c r="BD37" s="78">
        <f>'Technology Assumptions'!B$27</f>
        <v>45.6</v>
      </c>
      <c r="BE37" s="78">
        <f>'Technology Assumptions'!C$27</f>
        <v>45.6</v>
      </c>
      <c r="BF37" s="78">
        <f>'Technology Assumptions'!D$27</f>
        <v>45.6</v>
      </c>
      <c r="BG37" s="79">
        <f>'Technology Assumptions'!E$27</f>
        <v>45.6</v>
      </c>
      <c r="BH37" s="675">
        <f>'Fuel Yields Eth. and DA Hydrol.'!$F$24</f>
        <v>71.27598767161669</v>
      </c>
      <c r="BI37" s="675">
        <f>'Fuel Yields Eth. and DA Hydrol.'!$F$24</f>
        <v>71.27598767161669</v>
      </c>
      <c r="BJ37" s="675">
        <f>'Fuel Yields Eth. and DA Hydrol.'!$F$24</f>
        <v>71.27598767161669</v>
      </c>
      <c r="BK37" s="676">
        <f>'Fuel Yields Eth. and DA Hydrol.'!$F$24</f>
        <v>71.27598767161669</v>
      </c>
      <c r="BL37" s="51" t="s">
        <v>431</v>
      </c>
      <c r="BM37" s="51" t="s">
        <v>431</v>
      </c>
      <c r="BN37" s="51" t="s">
        <v>431</v>
      </c>
      <c r="BO37" s="140" t="s">
        <v>431</v>
      </c>
    </row>
    <row r="38" spans="1:67" x14ac:dyDescent="0.25">
      <c r="A38" s="1093"/>
      <c r="B38" s="17" t="s">
        <v>557</v>
      </c>
      <c r="C38" s="32">
        <f>'Energy Content Assumptions'!B35*2000/1000000</f>
        <v>15.958</v>
      </c>
      <c r="D38" s="32" t="s">
        <v>261</v>
      </c>
      <c r="E38" s="119"/>
      <c r="F38" s="333" t="str">
        <f>IF($F$2='Bioenergy Calculator'!$X$9,AF38,IF($F$2='Bioenergy Calculator'!$X$10,AJ38,IF($F$2='Bioenergy Calculator'!$X$11,AN38,IF($F$2='Bioenergy Calculator'!$X$12,P38,IF($F$2='Bioenergy Calculator'!$X$13,AR38,IF($F$2='Bioenergy Calculator'!$X$14,AV38,IF($F$2='Bioenergy Calculator'!$X$15,AZ38,"NA")))))))</f>
        <v>NA</v>
      </c>
      <c r="G38" s="66" t="str">
        <f>IF($F$2='Bioenergy Calculator'!$X$9,AG38,IF($F$2='Bioenergy Calculator'!$X$10,AK38,IF($F$2='Bioenergy Calculator'!$X$11,AO38,IF($F$2='Bioenergy Calculator'!$X$12,Q38,IF($F$2='Bioenergy Calculator'!$X$13,AS38,IF($F$2='Bioenergy Calculator'!$X$14,AW38,IF($F$2='Bioenergy Calculator'!$X$15,BA38,"NA")))))))</f>
        <v>NA</v>
      </c>
      <c r="H38" s="66" t="str">
        <f>IF($F$2='Bioenergy Calculator'!$X$9,AH38,IF($F$2='Bioenergy Calculator'!$X$10,AL38,IF($F$2='Bioenergy Calculator'!$X$11,AP38,IF($F$2='Bioenergy Calculator'!$X$12,R38,IF($F$2='Bioenergy Calculator'!$X$13,AT38,IF($F$2='Bioenergy Calculator'!$X$14,AX38,IF($F$2='Bioenergy Calculator'!$X$15,BB38,"NA")))))))</f>
        <v>NA</v>
      </c>
      <c r="I38" s="334" t="str">
        <f>IF($F$2='Bioenergy Calculator'!$X$9,AI38,IF($F$2='Bioenergy Calculator'!$X$10,AM38,IF($F$2='Bioenergy Calculator'!$X$11,AQ38,IF($F$2='Bioenergy Calculator'!$X$12,S38,IF($F$2='Bioenergy Calculator'!$X$13,AU38,IF($F$2='Bioenergy Calculator'!$X$14,AY38,IF($F$2='Bioenergy Calculator'!$X$15,BC38,"NA")))))))</f>
        <v>NA</v>
      </c>
      <c r="J38" s="117"/>
      <c r="K38" s="333" t="str">
        <f>IF($K$2='Bioenergy Calculator'!$X$21,X38,IF($K$2='Bioenergy Calculator'!$X$22,BH38,IF($K$2='Bioenergy Calculator'!$X$23,BD38,IF($K$2='Bioenergy Calculator'!$X$19,T38,IF($K$2='Bioenergy Calculator'!$X$20,AB38,IF($K$2='Bioenergy Calculator'!$X$24,'Conversion Tables'!BL38,"NA"))))))</f>
        <v>NA</v>
      </c>
      <c r="L38" s="66" t="str">
        <f>IF($K$2='Bioenergy Calculator'!$X$21,Y38,IF($K$2='Bioenergy Calculator'!$X$22,BI38,IF($K$2='Bioenergy Calculator'!$X$23,BE38,IF($K$2='Bioenergy Calculator'!$X$19,U38,IF($K$2='Bioenergy Calculator'!$X$20,AC38,IF($K$2='Bioenergy Calculator'!$X$24,'Conversion Tables'!BM38,"NA"))))))</f>
        <v>NA</v>
      </c>
      <c r="M38" s="66" t="str">
        <f>IF($K$2='Bioenergy Calculator'!$X$21,Z38,IF($K$2='Bioenergy Calculator'!$X$22,BJ38,IF($K$2='Bioenergy Calculator'!$X$23,BF38,IF($K$2='Bioenergy Calculator'!$X$19,V38,IF($K$2='Bioenergy Calculator'!$X$20,AD38,IF($K$2='Bioenergy Calculator'!$X$24,'Conversion Tables'!BN38,"NA"))))))</f>
        <v>NA</v>
      </c>
      <c r="N38" s="334" t="str">
        <f>IF($K$2='Bioenergy Calculator'!$X$21,AA38,IF($K$2='Bioenergy Calculator'!$X$22,BK38,IF($K$2='Bioenergy Calculator'!$X$23,BG38,IF($K$2='Bioenergy Calculator'!$X$19,W38,IF($K$2='Bioenergy Calculator'!$X$20,AE38,IF($K$2='Bioenergy Calculator'!$X$24,'Conversion Tables'!BO38,"NA"))))))</f>
        <v>NA</v>
      </c>
      <c r="O38" s="84"/>
      <c r="P38" s="68" t="s">
        <v>431</v>
      </c>
      <c r="Q38" s="51" t="s">
        <v>431</v>
      </c>
      <c r="R38" s="51" t="s">
        <v>431</v>
      </c>
      <c r="S38" s="65" t="s">
        <v>431</v>
      </c>
      <c r="T38" s="51" t="s">
        <v>431</v>
      </c>
      <c r="U38" s="51" t="s">
        <v>431</v>
      </c>
      <c r="V38" s="51" t="s">
        <v>431</v>
      </c>
      <c r="W38" s="65" t="s">
        <v>431</v>
      </c>
      <c r="X38" s="252">
        <f>'Fuel Yields Eth. and DA Hydrol.'!I23</f>
        <v>49.470229007633584</v>
      </c>
      <c r="Y38" s="252">
        <f>'Fuel Yields Eth. and DA Hydrol.'!J23</f>
        <v>59.349880683245409</v>
      </c>
      <c r="Z38" s="252">
        <f>'Fuel Yields Eth. and DA Hydrol.'!K23</f>
        <v>67.828435066566186</v>
      </c>
      <c r="AA38" s="255">
        <f>'Fuel Yields Eth. and DA Hydrol.'!L23</f>
        <v>76.306989449886956</v>
      </c>
      <c r="AB38" s="51" t="s">
        <v>431</v>
      </c>
      <c r="AC38" s="51" t="s">
        <v>431</v>
      </c>
      <c r="AD38" s="51" t="s">
        <v>431</v>
      </c>
      <c r="AE38" s="65" t="s">
        <v>431</v>
      </c>
      <c r="AF38" s="668">
        <f>('Energy Content Assumptions'!$B$69/'Technology Assumptions'!B$4)/1000</f>
        <v>13.648</v>
      </c>
      <c r="AG38" s="66">
        <f>('Energy Content Assumptions'!$B$69/'Technology Assumptions'!C$4)/1000</f>
        <v>13.648</v>
      </c>
      <c r="AH38" s="66">
        <f>('Energy Content Assumptions'!$B$69/'Technology Assumptions'!D$4)/1000</f>
        <v>13.648</v>
      </c>
      <c r="AI38" s="69">
        <f>('Energy Content Assumptions'!$B$69/'Technology Assumptions'!E$4)/1000</f>
        <v>13.648</v>
      </c>
      <c r="AJ38" s="66" t="s">
        <v>431</v>
      </c>
      <c r="AK38" s="66" t="s">
        <v>431</v>
      </c>
      <c r="AL38" s="66" t="s">
        <v>431</v>
      </c>
      <c r="AM38" s="69" t="s">
        <v>431</v>
      </c>
      <c r="AN38" s="51" t="s">
        <v>431</v>
      </c>
      <c r="AO38" s="51" t="s">
        <v>431</v>
      </c>
      <c r="AP38" s="51" t="s">
        <v>431</v>
      </c>
      <c r="AQ38" s="65" t="s">
        <v>431</v>
      </c>
      <c r="AR38" s="66">
        <f>('Energy Content Assumptions'!$B$69/'Technology Assumptions'!B$6)/1000</f>
        <v>9.7485714285714291</v>
      </c>
      <c r="AS38" s="66">
        <f>('Energy Content Assumptions'!$B$69/'Technology Assumptions'!C$6)/1000</f>
        <v>9.7485714285714291</v>
      </c>
      <c r="AT38" s="66">
        <f>('Energy Content Assumptions'!$B$69/'Technology Assumptions'!D$6)/1000</f>
        <v>9.7485714285714291</v>
      </c>
      <c r="AU38" s="69">
        <f>('Energy Content Assumptions'!$B$69/'Technology Assumptions'!E$6)/1000</f>
        <v>9.7485714285714291</v>
      </c>
      <c r="AV38" s="51" t="s">
        <v>431</v>
      </c>
      <c r="AW38" s="51" t="s">
        <v>431</v>
      </c>
      <c r="AX38" s="51" t="s">
        <v>431</v>
      </c>
      <c r="AY38" s="65" t="s">
        <v>431</v>
      </c>
      <c r="AZ38" s="88">
        <f>('Energy Content Assumptions'!$B$69/'Technology Assumptions'!B$11)/1000</f>
        <v>18.052910052910054</v>
      </c>
      <c r="BA38" s="88">
        <f>('Energy Content Assumptions'!$B$69/'Technology Assumptions'!C$11)/1000</f>
        <v>18.052910052910054</v>
      </c>
      <c r="BB38" s="88">
        <f>('Energy Content Assumptions'!$B$69/'Technology Assumptions'!D$11)/1000</f>
        <v>18.052910052910054</v>
      </c>
      <c r="BC38" s="89">
        <f>('Energy Content Assumptions'!$B$69/'Technology Assumptions'!E$11)/1000</f>
        <v>18.052910052910054</v>
      </c>
      <c r="BD38" s="78">
        <f>'Technology Assumptions'!B$27</f>
        <v>45.6</v>
      </c>
      <c r="BE38" s="78">
        <f>'Technology Assumptions'!C$27</f>
        <v>45.6</v>
      </c>
      <c r="BF38" s="78">
        <f>'Technology Assumptions'!D$27</f>
        <v>45.6</v>
      </c>
      <c r="BG38" s="79">
        <f>'Technology Assumptions'!E$27</f>
        <v>45.6</v>
      </c>
      <c r="BH38" s="675">
        <f>'Fuel Yields Eth. and DA Hydrol.'!$F$23</f>
        <v>44.998599047352194</v>
      </c>
      <c r="BI38" s="675">
        <f>'Fuel Yields Eth. and DA Hydrol.'!$F$23</f>
        <v>44.998599047352194</v>
      </c>
      <c r="BJ38" s="675">
        <f>'Fuel Yields Eth. and DA Hydrol.'!$F$23</f>
        <v>44.998599047352194</v>
      </c>
      <c r="BK38" s="676">
        <f>'Fuel Yields Eth. and DA Hydrol.'!$F$23</f>
        <v>44.998599047352194</v>
      </c>
      <c r="BL38" s="51" t="s">
        <v>431</v>
      </c>
      <c r="BM38" s="51" t="s">
        <v>431</v>
      </c>
      <c r="BN38" s="51" t="s">
        <v>431</v>
      </c>
      <c r="BO38" s="140" t="s">
        <v>431</v>
      </c>
    </row>
    <row r="39" spans="1:67" x14ac:dyDescent="0.25">
      <c r="A39" s="1093"/>
      <c r="B39" s="17" t="s">
        <v>558</v>
      </c>
      <c r="C39" s="32">
        <f>'Energy Content Assumptions'!B36*2000/1000000</f>
        <v>14.522</v>
      </c>
      <c r="D39" s="32" t="s">
        <v>261</v>
      </c>
      <c r="E39" s="119"/>
      <c r="F39" s="333" t="str">
        <f>IF($F$2='Bioenergy Calculator'!$X$9,AF39,IF($F$2='Bioenergy Calculator'!$X$10,AJ39,IF($F$2='Bioenergy Calculator'!$X$11,AN39,IF($F$2='Bioenergy Calculator'!$X$12,P39,IF($F$2='Bioenergy Calculator'!$X$13,AR39,IF($F$2='Bioenergy Calculator'!$X$14,AV39,IF($F$2='Bioenergy Calculator'!$X$15,AZ39,"NA")))))))</f>
        <v>NA</v>
      </c>
      <c r="G39" s="66" t="str">
        <f>IF($F$2='Bioenergy Calculator'!$X$9,AG39,IF($F$2='Bioenergy Calculator'!$X$10,AK39,IF($F$2='Bioenergy Calculator'!$X$11,AO39,IF($F$2='Bioenergy Calculator'!$X$12,Q39,IF($F$2='Bioenergy Calculator'!$X$13,AS39,IF($F$2='Bioenergy Calculator'!$X$14,AW39,IF($F$2='Bioenergy Calculator'!$X$15,BA39,"NA")))))))</f>
        <v>NA</v>
      </c>
      <c r="H39" s="66" t="str">
        <f>IF($F$2='Bioenergy Calculator'!$X$9,AH39,IF($F$2='Bioenergy Calculator'!$X$10,AL39,IF($F$2='Bioenergy Calculator'!$X$11,AP39,IF($F$2='Bioenergy Calculator'!$X$12,R39,IF($F$2='Bioenergy Calculator'!$X$13,AT39,IF($F$2='Bioenergy Calculator'!$X$14,AX39,IF($F$2='Bioenergy Calculator'!$X$15,BB39,"NA")))))))</f>
        <v>NA</v>
      </c>
      <c r="I39" s="334" t="str">
        <f>IF($F$2='Bioenergy Calculator'!$X$9,AI39,IF($F$2='Bioenergy Calculator'!$X$10,AM39,IF($F$2='Bioenergy Calculator'!$X$11,AQ39,IF($F$2='Bioenergy Calculator'!$X$12,S39,IF($F$2='Bioenergy Calculator'!$X$13,AU39,IF($F$2='Bioenergy Calculator'!$X$14,AY39,IF($F$2='Bioenergy Calculator'!$X$15,BC39,"NA")))))))</f>
        <v>NA</v>
      </c>
      <c r="J39" s="117"/>
      <c r="K39" s="333" t="str">
        <f>IF($K$2='Bioenergy Calculator'!$X$21,X39,IF($K$2='Bioenergy Calculator'!$X$22,BH39,IF($K$2='Bioenergy Calculator'!$X$23,BD39,IF($K$2='Bioenergy Calculator'!$X$19,T39,IF($K$2='Bioenergy Calculator'!$X$20,AB39,IF($K$2='Bioenergy Calculator'!$X$24,'Conversion Tables'!BL39,"NA"))))))</f>
        <v>NA</v>
      </c>
      <c r="L39" s="66" t="str">
        <f>IF($K$2='Bioenergy Calculator'!$X$21,Y39,IF($K$2='Bioenergy Calculator'!$X$22,BI39,IF($K$2='Bioenergy Calculator'!$X$23,BE39,IF($K$2='Bioenergy Calculator'!$X$19,U39,IF($K$2='Bioenergy Calculator'!$X$20,AC39,IF($K$2='Bioenergy Calculator'!$X$24,'Conversion Tables'!BM39,"NA"))))))</f>
        <v>NA</v>
      </c>
      <c r="M39" s="66" t="str">
        <f>IF($K$2='Bioenergy Calculator'!$X$21,Z39,IF($K$2='Bioenergy Calculator'!$X$22,BJ39,IF($K$2='Bioenergy Calculator'!$X$23,BF39,IF($K$2='Bioenergy Calculator'!$X$19,V39,IF($K$2='Bioenergy Calculator'!$X$20,AD39,IF($K$2='Bioenergy Calculator'!$X$24,'Conversion Tables'!BN39,"NA"))))))</f>
        <v>NA</v>
      </c>
      <c r="N39" s="334" t="str">
        <f>IF($K$2='Bioenergy Calculator'!$X$21,AA39,IF($K$2='Bioenergy Calculator'!$X$22,BK39,IF($K$2='Bioenergy Calculator'!$X$23,BG39,IF($K$2='Bioenergy Calculator'!$X$19,W39,IF($K$2='Bioenergy Calculator'!$X$20,AE39,IF($K$2='Bioenergy Calculator'!$X$24,'Conversion Tables'!BO39,"NA"))))))</f>
        <v>NA</v>
      </c>
      <c r="O39" s="84"/>
      <c r="P39" s="73" t="s">
        <v>431</v>
      </c>
      <c r="Q39" s="74" t="s">
        <v>431</v>
      </c>
      <c r="R39" s="74" t="s">
        <v>431</v>
      </c>
      <c r="S39" s="75" t="s">
        <v>431</v>
      </c>
      <c r="T39" s="51" t="s">
        <v>431</v>
      </c>
      <c r="U39" s="51" t="s">
        <v>431</v>
      </c>
      <c r="V39" s="51" t="s">
        <v>431</v>
      </c>
      <c r="W39" s="65" t="s">
        <v>431</v>
      </c>
      <c r="X39" s="252">
        <f>'Fuel Yields Eth. and DA Hydrol.'!I25</f>
        <v>44.244580152671759</v>
      </c>
      <c r="Y39" s="252">
        <f>'Fuel Yields Eth. and DA Hydrol.'!J25</f>
        <v>53.080622540400235</v>
      </c>
      <c r="Z39" s="252">
        <f>'Fuel Yields Eth. and DA Hydrol.'!K25</f>
        <v>60.663568617600269</v>
      </c>
      <c r="AA39" s="255">
        <f>'Fuel Yields Eth. and DA Hydrol.'!L25</f>
        <v>68.246514694800297</v>
      </c>
      <c r="AB39" s="51" t="s">
        <v>431</v>
      </c>
      <c r="AC39" s="51" t="s">
        <v>431</v>
      </c>
      <c r="AD39" s="51" t="s">
        <v>431</v>
      </c>
      <c r="AE39" s="65" t="s">
        <v>431</v>
      </c>
      <c r="AF39" s="668">
        <f>('Energy Content Assumptions'!$B$69/'Technology Assumptions'!B$4)/1000</f>
        <v>13.648</v>
      </c>
      <c r="AG39" s="66">
        <f>('Energy Content Assumptions'!$B$69/'Technology Assumptions'!C$4)/1000</f>
        <v>13.648</v>
      </c>
      <c r="AH39" s="66">
        <f>('Energy Content Assumptions'!$B$69/'Technology Assumptions'!D$4)/1000</f>
        <v>13.648</v>
      </c>
      <c r="AI39" s="69">
        <f>('Energy Content Assumptions'!$B$69/'Technology Assumptions'!E$4)/1000</f>
        <v>13.648</v>
      </c>
      <c r="AJ39" s="66" t="s">
        <v>431</v>
      </c>
      <c r="AK39" s="66" t="s">
        <v>431</v>
      </c>
      <c r="AL39" s="66" t="s">
        <v>431</v>
      </c>
      <c r="AM39" s="69" t="s">
        <v>431</v>
      </c>
      <c r="AN39" s="51" t="s">
        <v>431</v>
      </c>
      <c r="AO39" s="51" t="s">
        <v>431</v>
      </c>
      <c r="AP39" s="51" t="s">
        <v>431</v>
      </c>
      <c r="AQ39" s="65" t="s">
        <v>431</v>
      </c>
      <c r="AR39" s="66">
        <f>('Energy Content Assumptions'!$B$69/'Technology Assumptions'!B$6)/1000</f>
        <v>9.7485714285714291</v>
      </c>
      <c r="AS39" s="66">
        <f>('Energy Content Assumptions'!$B$69/'Technology Assumptions'!C$6)/1000</f>
        <v>9.7485714285714291</v>
      </c>
      <c r="AT39" s="66">
        <f>('Energy Content Assumptions'!$B$69/'Technology Assumptions'!D$6)/1000</f>
        <v>9.7485714285714291</v>
      </c>
      <c r="AU39" s="69">
        <f>('Energy Content Assumptions'!$B$69/'Technology Assumptions'!E$6)/1000</f>
        <v>9.7485714285714291</v>
      </c>
      <c r="AV39" s="51" t="s">
        <v>431</v>
      </c>
      <c r="AW39" s="51" t="s">
        <v>431</v>
      </c>
      <c r="AX39" s="51" t="s">
        <v>431</v>
      </c>
      <c r="AY39" s="65" t="s">
        <v>431</v>
      </c>
      <c r="AZ39" s="88">
        <f>('Energy Content Assumptions'!$B$69/'Technology Assumptions'!B$11)/1000</f>
        <v>18.052910052910054</v>
      </c>
      <c r="BA39" s="88">
        <f>('Energy Content Assumptions'!$B$69/'Technology Assumptions'!C$11)/1000</f>
        <v>18.052910052910054</v>
      </c>
      <c r="BB39" s="88">
        <f>('Energy Content Assumptions'!$B$69/'Technology Assumptions'!D$11)/1000</f>
        <v>18.052910052910054</v>
      </c>
      <c r="BC39" s="89">
        <f>('Energy Content Assumptions'!$B$69/'Technology Assumptions'!E$11)/1000</f>
        <v>18.052910052910054</v>
      </c>
      <c r="BD39" s="78">
        <f>'Technology Assumptions'!B$27</f>
        <v>45.6</v>
      </c>
      <c r="BE39" s="78">
        <f>'Technology Assumptions'!C$27</f>
        <v>45.6</v>
      </c>
      <c r="BF39" s="78">
        <f>'Technology Assumptions'!D$27</f>
        <v>45.6</v>
      </c>
      <c r="BG39" s="79">
        <f>'Technology Assumptions'!E$27</f>
        <v>45.6</v>
      </c>
      <c r="BH39" s="673">
        <f>'Fuel Yields Eth. and DA Hydrol.'!$F$25</f>
        <v>41.192490893807786</v>
      </c>
      <c r="BI39" s="673">
        <f>'Fuel Yields Eth. and DA Hydrol.'!$F$25</f>
        <v>41.192490893807786</v>
      </c>
      <c r="BJ39" s="673">
        <f>'Fuel Yields Eth. and DA Hydrol.'!$F$25</f>
        <v>41.192490893807786</v>
      </c>
      <c r="BK39" s="674">
        <f>'Fuel Yields Eth. and DA Hydrol.'!$F$25</f>
        <v>41.192490893807786</v>
      </c>
      <c r="BL39" s="74" t="s">
        <v>431</v>
      </c>
      <c r="BM39" s="74" t="s">
        <v>431</v>
      </c>
      <c r="BN39" s="74" t="s">
        <v>431</v>
      </c>
      <c r="BO39" s="238" t="s">
        <v>431</v>
      </c>
    </row>
    <row r="40" spans="1:67" x14ac:dyDescent="0.25">
      <c r="A40" s="1092" t="s">
        <v>515</v>
      </c>
      <c r="B40" s="2" t="s">
        <v>510</v>
      </c>
      <c r="C40" s="32"/>
      <c r="D40" s="32"/>
      <c r="E40" s="119"/>
      <c r="F40" s="172"/>
      <c r="G40" s="51"/>
      <c r="H40" s="51"/>
      <c r="I40" s="140"/>
      <c r="J40" s="84"/>
      <c r="K40" s="333"/>
      <c r="L40" s="66"/>
      <c r="M40" s="66"/>
      <c r="N40" s="334"/>
      <c r="O40" s="84"/>
      <c r="P40" s="77"/>
      <c r="Q40" s="78"/>
      <c r="R40" s="78"/>
      <c r="S40" s="79"/>
      <c r="T40" s="51"/>
      <c r="U40" s="51"/>
      <c r="V40" s="51"/>
      <c r="W40" s="65"/>
      <c r="X40" s="146"/>
      <c r="Y40" s="146"/>
      <c r="Z40" s="146"/>
      <c r="AA40" s="257"/>
      <c r="AB40" s="51"/>
      <c r="AC40" s="51"/>
      <c r="AD40" s="51"/>
      <c r="AE40" s="65"/>
      <c r="AF40" s="68"/>
      <c r="AG40" s="51"/>
      <c r="AH40" s="51"/>
      <c r="AI40" s="65"/>
      <c r="AJ40" s="51"/>
      <c r="AK40" s="51"/>
      <c r="AL40" s="51"/>
      <c r="AM40" s="65"/>
      <c r="AN40" s="51"/>
      <c r="AO40" s="51"/>
      <c r="AP40" s="51"/>
      <c r="AQ40" s="65"/>
      <c r="AR40" s="51"/>
      <c r="AS40" s="51"/>
      <c r="AT40" s="51"/>
      <c r="AU40" s="65"/>
      <c r="AV40" s="51"/>
      <c r="AW40" s="51"/>
      <c r="AX40" s="51"/>
      <c r="AY40" s="65"/>
      <c r="AZ40" s="51"/>
      <c r="BA40" s="51"/>
      <c r="BB40" s="51"/>
      <c r="BC40" s="65"/>
      <c r="BD40" s="51"/>
      <c r="BE40" s="51"/>
      <c r="BF40" s="51"/>
      <c r="BG40" s="65"/>
      <c r="BH40" s="146"/>
      <c r="BI40" s="146"/>
      <c r="BJ40" s="146"/>
      <c r="BK40" s="257"/>
      <c r="BL40" s="78"/>
      <c r="BM40" s="78"/>
      <c r="BN40" s="78"/>
      <c r="BO40" s="239"/>
    </row>
    <row r="41" spans="1:67" x14ac:dyDescent="0.25">
      <c r="A41" s="1093"/>
      <c r="B41" s="12" t="s">
        <v>525</v>
      </c>
      <c r="C41" s="32">
        <f>'Energy Content Assumptions'!B38*2000/1000000</f>
        <v>0</v>
      </c>
      <c r="D41" s="32"/>
      <c r="E41" s="119"/>
      <c r="F41" s="172" t="str">
        <f>IF($F$2='Bioenergy Calculator'!$X$9,AF41,IF($F$2='Bioenergy Calculator'!$X$10,AJ41,IF($F$2='Bioenergy Calculator'!$X$11,AN41,IF($F$2='Bioenergy Calculator'!$X$12,P41,IF($F$2='Bioenergy Calculator'!$X$13,AR41,IF($F$2='Bioenergy Calculator'!$X$14,AV41,IF($F$2='Bioenergy Calculator'!$X$15,AZ41,"NA")))))))</f>
        <v>NA</v>
      </c>
      <c r="G41" s="51" t="str">
        <f>IF($F$2='Bioenergy Calculator'!$X$9,AG41,IF($F$2='Bioenergy Calculator'!$X$10,AK41,IF($F$2='Bioenergy Calculator'!$X$11,AO41,IF($F$2='Bioenergy Calculator'!$X$12,Q41,IF($F$2='Bioenergy Calculator'!$X$13,AS41,IF($F$2='Bioenergy Calculator'!$X$14,AW41,IF($F$2='Bioenergy Calculator'!$X$15,BA41,"NA")))))))</f>
        <v>NA</v>
      </c>
      <c r="H41" s="51" t="str">
        <f>IF($F$2='Bioenergy Calculator'!$X$9,AH41,IF($F$2='Bioenergy Calculator'!$X$10,AL41,IF($F$2='Bioenergy Calculator'!$X$11,AP41,IF($F$2='Bioenergy Calculator'!$X$12,R41,IF($F$2='Bioenergy Calculator'!$X$13,AT41,IF($F$2='Bioenergy Calculator'!$X$14,AX41,IF($F$2='Bioenergy Calculator'!$X$15,BB41,"NA")))))))</f>
        <v>NA</v>
      </c>
      <c r="I41" s="140" t="str">
        <f>IF($F$2='Bioenergy Calculator'!$X$9,AI41,IF($F$2='Bioenergy Calculator'!$X$10,AM41,IF($F$2='Bioenergy Calculator'!$X$11,AQ41,IF($F$2='Bioenergy Calculator'!$X$12,S41,IF($F$2='Bioenergy Calculator'!$X$13,AU41,IF($F$2='Bioenergy Calculator'!$X$14,AY41,IF($F$2='Bioenergy Calculator'!$X$15,BC41,"NA")))))))</f>
        <v>NA</v>
      </c>
      <c r="J41" s="84"/>
      <c r="K41" s="333" t="str">
        <f>IF($K$2='Bioenergy Calculator'!$X$21,X41,IF($K$2='Bioenergy Calculator'!$X$22,BH41,IF($K$2='Bioenergy Calculator'!$X$23,BD41,IF($K$2='Bioenergy Calculator'!$X$19,T41,IF($K$2='Bioenergy Calculator'!$X$20,AB41,IF($K$2='Bioenergy Calculator'!$X$24,'Conversion Tables'!BL41,"NA"))))))</f>
        <v>NA</v>
      </c>
      <c r="L41" s="66" t="str">
        <f>IF($K$2='Bioenergy Calculator'!$X$21,Y41,IF($K$2='Bioenergy Calculator'!$X$22,BI41,IF($K$2='Bioenergy Calculator'!$X$23,BE41,IF($K$2='Bioenergy Calculator'!$X$19,U41,IF($K$2='Bioenergy Calculator'!$X$20,AC41,IF($K$2='Bioenergy Calculator'!$X$24,'Conversion Tables'!BM41,"NA"))))))</f>
        <v>NA</v>
      </c>
      <c r="M41" s="66" t="str">
        <f>IF($K$2='Bioenergy Calculator'!$X$21,Z41,IF($K$2='Bioenergy Calculator'!$X$22,BJ41,IF($K$2='Bioenergy Calculator'!$X$23,BF41,IF($K$2='Bioenergy Calculator'!$X$19,V41,IF($K$2='Bioenergy Calculator'!$X$20,AD41,IF($K$2='Bioenergy Calculator'!$X$24,'Conversion Tables'!BN41,"NA"))))))</f>
        <v>NA</v>
      </c>
      <c r="N41" s="334" t="str">
        <f>IF($K$2='Bioenergy Calculator'!$X$21,AA41,IF($K$2='Bioenergy Calculator'!$X$22,BK41,IF($K$2='Bioenergy Calculator'!$X$23,BG41,IF($K$2='Bioenergy Calculator'!$X$19,W41,IF($K$2='Bioenergy Calculator'!$X$20,AE41,IF($K$2='Bioenergy Calculator'!$X$24,'Conversion Tables'!BO41,"NA"))))))</f>
        <v>NA</v>
      </c>
      <c r="O41" s="84"/>
      <c r="P41" s="77" t="s">
        <v>431</v>
      </c>
      <c r="Q41" s="78" t="s">
        <v>431</v>
      </c>
      <c r="R41" s="78" t="s">
        <v>431</v>
      </c>
      <c r="S41" s="79" t="s">
        <v>431</v>
      </c>
      <c r="T41" s="51" t="s">
        <v>431</v>
      </c>
      <c r="U41" s="51" t="s">
        <v>431</v>
      </c>
      <c r="V41" s="51" t="s">
        <v>431</v>
      </c>
      <c r="W41" s="65" t="s">
        <v>431</v>
      </c>
      <c r="X41" s="146" t="s">
        <v>431</v>
      </c>
      <c r="Y41" s="146" t="s">
        <v>431</v>
      </c>
      <c r="Z41" s="146" t="s">
        <v>431</v>
      </c>
      <c r="AA41" s="257" t="s">
        <v>431</v>
      </c>
      <c r="AB41" s="74">
        <f>'Technology Assumptions'!B$20*2000</f>
        <v>50</v>
      </c>
      <c r="AC41" s="74">
        <f>'Technology Assumptions'!C$20*2000</f>
        <v>50</v>
      </c>
      <c r="AD41" s="74">
        <f>'Technology Assumptions'!D$20*2000</f>
        <v>50</v>
      </c>
      <c r="AE41" s="75">
        <f>'Technology Assumptions'!E$20*2000</f>
        <v>50</v>
      </c>
      <c r="AF41" s="68" t="s">
        <v>431</v>
      </c>
      <c r="AG41" s="51" t="s">
        <v>431</v>
      </c>
      <c r="AH41" s="51" t="s">
        <v>431</v>
      </c>
      <c r="AI41" s="65" t="s">
        <v>431</v>
      </c>
      <c r="AJ41" s="51" t="s">
        <v>431</v>
      </c>
      <c r="AK41" s="51" t="s">
        <v>431</v>
      </c>
      <c r="AL41" s="51" t="s">
        <v>431</v>
      </c>
      <c r="AM41" s="65" t="s">
        <v>431</v>
      </c>
      <c r="AN41" s="51" t="s">
        <v>431</v>
      </c>
      <c r="AO41" s="51" t="s">
        <v>431</v>
      </c>
      <c r="AP41" s="51" t="s">
        <v>431</v>
      </c>
      <c r="AQ41" s="65" t="s">
        <v>431</v>
      </c>
      <c r="AR41" s="51" t="s">
        <v>431</v>
      </c>
      <c r="AS41" s="51" t="s">
        <v>431</v>
      </c>
      <c r="AT41" s="51" t="s">
        <v>431</v>
      </c>
      <c r="AU41" s="65" t="s">
        <v>431</v>
      </c>
      <c r="AV41" s="51" t="s">
        <v>431</v>
      </c>
      <c r="AW41" s="51" t="s">
        <v>431</v>
      </c>
      <c r="AX41" s="51" t="s">
        <v>431</v>
      </c>
      <c r="AY41" s="65" t="s">
        <v>431</v>
      </c>
      <c r="AZ41" s="51" t="s">
        <v>431</v>
      </c>
      <c r="BA41" s="51" t="s">
        <v>431</v>
      </c>
      <c r="BB41" s="51" t="s">
        <v>431</v>
      </c>
      <c r="BC41" s="65" t="s">
        <v>431</v>
      </c>
      <c r="BD41" s="51" t="s">
        <v>431</v>
      </c>
      <c r="BE41" s="51" t="s">
        <v>431</v>
      </c>
      <c r="BF41" s="51" t="s">
        <v>431</v>
      </c>
      <c r="BG41" s="65" t="s">
        <v>431</v>
      </c>
      <c r="BH41" s="675" t="s">
        <v>431</v>
      </c>
      <c r="BI41" s="675" t="s">
        <v>431</v>
      </c>
      <c r="BJ41" s="675" t="s">
        <v>431</v>
      </c>
      <c r="BK41" s="676" t="s">
        <v>431</v>
      </c>
      <c r="BL41" s="78" t="s">
        <v>431</v>
      </c>
      <c r="BM41" s="78" t="s">
        <v>431</v>
      </c>
      <c r="BN41" s="78" t="s">
        <v>431</v>
      </c>
      <c r="BO41" s="239" t="s">
        <v>431</v>
      </c>
    </row>
    <row r="42" spans="1:67" x14ac:dyDescent="0.25">
      <c r="A42" s="1093"/>
      <c r="B42" s="2" t="s">
        <v>508</v>
      </c>
      <c r="C42" s="32">
        <f>'Energy Content Assumptions'!B39*2000/1000000</f>
        <v>30</v>
      </c>
      <c r="D42" s="32" t="s">
        <v>261</v>
      </c>
      <c r="E42" s="119"/>
      <c r="F42" s="172" t="str">
        <f>IF($F$2='Bioenergy Calculator'!$X$9,AF42,IF($F$2='Bioenergy Calculator'!$X$10,AJ42,IF($F$2='Bioenergy Calculator'!$X$11,AN42,IF($F$2='Bioenergy Calculator'!$X$12,P42,IF($F$2='Bioenergy Calculator'!$X$13,AR42,IF($F$2='Bioenergy Calculator'!$X$14,AV42,IF($F$2='Bioenergy Calculator'!$X$15,AZ42,"NA")))))))</f>
        <v>NA</v>
      </c>
      <c r="G42" s="51" t="str">
        <f>IF($F$2='Bioenergy Calculator'!$X$9,AG42,IF($F$2='Bioenergy Calculator'!$X$10,AK42,IF($F$2='Bioenergy Calculator'!$X$11,AO42,IF($F$2='Bioenergy Calculator'!$X$12,Q42,IF($F$2='Bioenergy Calculator'!$X$13,AS42,IF($F$2='Bioenergy Calculator'!$X$14,AW42,IF($F$2='Bioenergy Calculator'!$X$15,BA42,"NA")))))))</f>
        <v>NA</v>
      </c>
      <c r="H42" s="51" t="str">
        <f>IF($F$2='Bioenergy Calculator'!$X$9,AH42,IF($F$2='Bioenergy Calculator'!$X$10,AL42,IF($F$2='Bioenergy Calculator'!$X$11,AP42,IF($F$2='Bioenergy Calculator'!$X$12,R42,IF($F$2='Bioenergy Calculator'!$X$13,AT42,IF($F$2='Bioenergy Calculator'!$X$14,AX42,IF($F$2='Bioenergy Calculator'!$X$15,BB42,"NA")))))))</f>
        <v>NA</v>
      </c>
      <c r="I42" s="140" t="str">
        <f>IF($F$2='Bioenergy Calculator'!$X$9,AI42,IF($F$2='Bioenergy Calculator'!$X$10,AM42,IF($F$2='Bioenergy Calculator'!$X$11,AQ42,IF($F$2='Bioenergy Calculator'!$X$12,S42,IF($F$2='Bioenergy Calculator'!$X$13,AU42,IF($F$2='Bioenergy Calculator'!$X$14,AY42,IF($F$2='Bioenergy Calculator'!$X$15,BC42,"NA")))))))</f>
        <v>NA</v>
      </c>
      <c r="J42" s="84"/>
      <c r="K42" s="333" t="str">
        <f>IF($K$2='Bioenergy Calculator'!$X$21,X42,IF($K$2='Bioenergy Calculator'!$X$22,BH42,IF($K$2='Bioenergy Calculator'!$X$23,BD42,IF($K$2='Bioenergy Calculator'!$X$19,T42,IF($K$2='Bioenergy Calculator'!$X$20,AB42,IF($K$2='Bioenergy Calculator'!$X$24,'Conversion Tables'!BL42,"NA"))))))</f>
        <v>NA</v>
      </c>
      <c r="L42" s="66" t="str">
        <f>IF($K$2='Bioenergy Calculator'!$X$21,Y42,IF($K$2='Bioenergy Calculator'!$X$22,BI42,IF($K$2='Bioenergy Calculator'!$X$23,BE42,IF($K$2='Bioenergy Calculator'!$X$19,U42,IF($K$2='Bioenergy Calculator'!$X$20,AC42,IF($K$2='Bioenergy Calculator'!$X$24,'Conversion Tables'!BM42,"NA"))))))</f>
        <v>NA</v>
      </c>
      <c r="M42" s="66" t="str">
        <f>IF($K$2='Bioenergy Calculator'!$X$21,Z42,IF($K$2='Bioenergy Calculator'!$X$22,BJ42,IF($K$2='Bioenergy Calculator'!$X$23,BF42,IF($K$2='Bioenergy Calculator'!$X$19,V42,IF($K$2='Bioenergy Calculator'!$X$20,AD42,IF($K$2='Bioenergy Calculator'!$X$24,'Conversion Tables'!BN42,"NA"))))))</f>
        <v>NA</v>
      </c>
      <c r="N42" s="334" t="str">
        <f>IF($K$2='Bioenergy Calculator'!$X$21,AA42,IF($K$2='Bioenergy Calculator'!$X$22,BK42,IF($K$2='Bioenergy Calculator'!$X$23,BG42,IF($K$2='Bioenergy Calculator'!$X$19,W42,IF($K$2='Bioenergy Calculator'!$X$20,AE42,IF($K$2='Bioenergy Calculator'!$X$24,'Conversion Tables'!BO42,"NA"))))))</f>
        <v>NA</v>
      </c>
      <c r="O42" s="84"/>
      <c r="P42" s="77">
        <f>('Energy Content Assumptions'!$B$69/'Technology Assumptions'!B$8)/1000</f>
        <v>12.998095238095237</v>
      </c>
      <c r="Q42" s="78">
        <f>('Energy Content Assumptions'!$B$69/'Technology Assumptions'!C$8)/1000</f>
        <v>12.998095238095237</v>
      </c>
      <c r="R42" s="78">
        <f>('Energy Content Assumptions'!$B$69/'Technology Assumptions'!D$8)/1000</f>
        <v>12.998095238095237</v>
      </c>
      <c r="S42" s="79">
        <f>('Energy Content Assumptions'!$B$69/'Technology Assumptions'!E$8)/1000</f>
        <v>12.998095238095237</v>
      </c>
      <c r="T42" s="51" t="s">
        <v>431</v>
      </c>
      <c r="U42" s="51" t="s">
        <v>431</v>
      </c>
      <c r="V42" s="51" t="s">
        <v>431</v>
      </c>
      <c r="W42" s="65" t="s">
        <v>431</v>
      </c>
      <c r="X42" s="146" t="s">
        <v>431</v>
      </c>
      <c r="Y42" s="146" t="s">
        <v>431</v>
      </c>
      <c r="Z42" s="146" t="s">
        <v>431</v>
      </c>
      <c r="AA42" s="257" t="s">
        <v>431</v>
      </c>
      <c r="AB42" s="74">
        <f>'Technology Assumptions'!B$21*2000</f>
        <v>260</v>
      </c>
      <c r="AC42" s="74">
        <f>'Technology Assumptions'!C$21*2000</f>
        <v>260</v>
      </c>
      <c r="AD42" s="74">
        <f>'Technology Assumptions'!D$21*2000</f>
        <v>260</v>
      </c>
      <c r="AE42" s="75">
        <f>'Technology Assumptions'!E$21*2000</f>
        <v>260</v>
      </c>
      <c r="AF42" s="68" t="s">
        <v>431</v>
      </c>
      <c r="AG42" s="51" t="s">
        <v>431</v>
      </c>
      <c r="AH42" s="51" t="s">
        <v>431</v>
      </c>
      <c r="AI42" s="65" t="s">
        <v>431</v>
      </c>
      <c r="AJ42" s="51" t="s">
        <v>431</v>
      </c>
      <c r="AK42" s="51" t="s">
        <v>431</v>
      </c>
      <c r="AL42" s="51" t="s">
        <v>431</v>
      </c>
      <c r="AM42" s="65" t="s">
        <v>431</v>
      </c>
      <c r="AN42" s="51" t="s">
        <v>431</v>
      </c>
      <c r="AO42" s="51" t="s">
        <v>431</v>
      </c>
      <c r="AP42" s="51" t="s">
        <v>431</v>
      </c>
      <c r="AQ42" s="65" t="s">
        <v>431</v>
      </c>
      <c r="AR42" s="51" t="s">
        <v>431</v>
      </c>
      <c r="AS42" s="51" t="s">
        <v>431</v>
      </c>
      <c r="AT42" s="51" t="s">
        <v>431</v>
      </c>
      <c r="AU42" s="65" t="s">
        <v>431</v>
      </c>
      <c r="AV42" s="51" t="s">
        <v>431</v>
      </c>
      <c r="AW42" s="51" t="s">
        <v>431</v>
      </c>
      <c r="AX42" s="51" t="s">
        <v>431</v>
      </c>
      <c r="AY42" s="65" t="s">
        <v>431</v>
      </c>
      <c r="AZ42" s="51" t="s">
        <v>431</v>
      </c>
      <c r="BA42" s="51" t="s">
        <v>431</v>
      </c>
      <c r="BB42" s="51" t="s">
        <v>431</v>
      </c>
      <c r="BC42" s="65" t="s">
        <v>431</v>
      </c>
      <c r="BD42" s="51" t="s">
        <v>431</v>
      </c>
      <c r="BE42" s="51" t="s">
        <v>431</v>
      </c>
      <c r="BF42" s="51" t="s">
        <v>431</v>
      </c>
      <c r="BG42" s="65" t="s">
        <v>431</v>
      </c>
      <c r="BH42" s="675" t="s">
        <v>431</v>
      </c>
      <c r="BI42" s="675" t="s">
        <v>431</v>
      </c>
      <c r="BJ42" s="675" t="s">
        <v>431</v>
      </c>
      <c r="BK42" s="676" t="s">
        <v>431</v>
      </c>
      <c r="BL42" s="78">
        <f>'Technology Assumptions'!B$30*$C42</f>
        <v>144.76435579861669</v>
      </c>
      <c r="BM42" s="78">
        <f>'Technology Assumptions'!C$30*$C42</f>
        <v>144.76435579861669</v>
      </c>
      <c r="BN42" s="78">
        <f>'Technology Assumptions'!D$30*$C42</f>
        <v>144.76435579861669</v>
      </c>
      <c r="BO42" s="239">
        <f>'Technology Assumptions'!E$30*$C42</f>
        <v>144.76435579861669</v>
      </c>
    </row>
    <row r="43" spans="1:67" x14ac:dyDescent="0.25">
      <c r="A43" s="1102"/>
      <c r="B43" s="1" t="s">
        <v>509</v>
      </c>
      <c r="C43" s="32">
        <f>'Energy Content Assumptions'!B40*2000/1000000</f>
        <v>30</v>
      </c>
      <c r="D43" s="32" t="s">
        <v>261</v>
      </c>
      <c r="E43" s="119"/>
      <c r="F43" s="172" t="str">
        <f>IF($F$2='Bioenergy Calculator'!$X$9,AF43,IF($F$2='Bioenergy Calculator'!$X$10,AJ43,IF($F$2='Bioenergy Calculator'!$X$11,AN43,IF($F$2='Bioenergy Calculator'!$X$12,P43,IF($F$2='Bioenergy Calculator'!$X$13,AR43,IF($F$2='Bioenergy Calculator'!$X$14,AV43,IF($F$2='Bioenergy Calculator'!$X$15,AZ43,"NA")))))))</f>
        <v>NA</v>
      </c>
      <c r="G43" s="51" t="str">
        <f>IF($F$2='Bioenergy Calculator'!$X$9,AG43,IF($F$2='Bioenergy Calculator'!$X$10,AK43,IF($F$2='Bioenergy Calculator'!$X$11,AO43,IF($F$2='Bioenergy Calculator'!$X$12,Q43,IF($F$2='Bioenergy Calculator'!$X$13,AS43,IF($F$2='Bioenergy Calculator'!$X$14,AW43,IF($F$2='Bioenergy Calculator'!$X$15,BA43,"NA")))))))</f>
        <v>NA</v>
      </c>
      <c r="H43" s="51" t="str">
        <f>IF($F$2='Bioenergy Calculator'!$X$9,AH43,IF($F$2='Bioenergy Calculator'!$X$10,AL43,IF($F$2='Bioenergy Calculator'!$X$11,AP43,IF($F$2='Bioenergy Calculator'!$X$12,R43,IF($F$2='Bioenergy Calculator'!$X$13,AT43,IF($F$2='Bioenergy Calculator'!$X$14,AX43,IF($F$2='Bioenergy Calculator'!$X$15,BB43,"NA")))))))</f>
        <v>NA</v>
      </c>
      <c r="I43" s="140" t="str">
        <f>IF($F$2='Bioenergy Calculator'!$X$9,AI43,IF($F$2='Bioenergy Calculator'!$X$10,AM43,IF($F$2='Bioenergy Calculator'!$X$11,AQ43,IF($F$2='Bioenergy Calculator'!$X$12,S43,IF($F$2='Bioenergy Calculator'!$X$13,AU43,IF($F$2='Bioenergy Calculator'!$X$14,AY43,IF($F$2='Bioenergy Calculator'!$X$15,BC43,"NA")))))))</f>
        <v>NA</v>
      </c>
      <c r="J43" s="84"/>
      <c r="K43" s="333" t="str">
        <f>IF($K$2='Bioenergy Calculator'!$X$21,X43,IF($K$2='Bioenergy Calculator'!$X$22,BH43,IF($K$2='Bioenergy Calculator'!$X$23,BD43,IF($K$2='Bioenergy Calculator'!$X$19,T43,IF($K$2='Bioenergy Calculator'!$X$20,AB43,IF($K$2='Bioenergy Calculator'!$X$24,'Conversion Tables'!BL43,"NA"))))))</f>
        <v>NA</v>
      </c>
      <c r="L43" s="66" t="str">
        <f>IF($K$2='Bioenergy Calculator'!$X$21,Y43,IF($K$2='Bioenergy Calculator'!$X$22,BI43,IF($K$2='Bioenergy Calculator'!$X$23,BE43,IF($K$2='Bioenergy Calculator'!$X$19,U43,IF($K$2='Bioenergy Calculator'!$X$20,AC43,IF($K$2='Bioenergy Calculator'!$X$24,'Conversion Tables'!BM43,"NA"))))))</f>
        <v>NA</v>
      </c>
      <c r="M43" s="66" t="str">
        <f>IF($K$2='Bioenergy Calculator'!$X$21,Z43,IF($K$2='Bioenergy Calculator'!$X$22,BJ43,IF($K$2='Bioenergy Calculator'!$X$23,BF43,IF($K$2='Bioenergy Calculator'!$X$19,V43,IF($K$2='Bioenergy Calculator'!$X$20,AD43,IF($K$2='Bioenergy Calculator'!$X$24,'Conversion Tables'!BN43,"NA"))))))</f>
        <v>NA</v>
      </c>
      <c r="N43" s="334" t="str">
        <f>IF($K$2='Bioenergy Calculator'!$X$21,AA43,IF($K$2='Bioenergy Calculator'!$X$22,BK43,IF($K$2='Bioenergy Calculator'!$X$23,BG43,IF($K$2='Bioenergy Calculator'!$X$19,W43,IF($K$2='Bioenergy Calculator'!$X$20,AE43,IF($K$2='Bioenergy Calculator'!$X$24,'Conversion Tables'!BO43,"NA"))))))</f>
        <v>NA</v>
      </c>
      <c r="O43" s="84"/>
      <c r="P43" s="77">
        <f>('Energy Content Assumptions'!$B$69/'Technology Assumptions'!B$8)/1000</f>
        <v>12.998095238095237</v>
      </c>
      <c r="Q43" s="78">
        <f>('Energy Content Assumptions'!$B$69/'Technology Assumptions'!C$8)/1000</f>
        <v>12.998095238095237</v>
      </c>
      <c r="R43" s="78">
        <f>('Energy Content Assumptions'!$B$69/'Technology Assumptions'!D$8)/1000</f>
        <v>12.998095238095237</v>
      </c>
      <c r="S43" s="79">
        <f>('Energy Content Assumptions'!$B$69/'Technology Assumptions'!E$8)/1000</f>
        <v>12.998095238095237</v>
      </c>
      <c r="T43" s="51" t="s">
        <v>431</v>
      </c>
      <c r="U43" s="51" t="s">
        <v>431</v>
      </c>
      <c r="V43" s="51" t="s">
        <v>431</v>
      </c>
      <c r="W43" s="65" t="s">
        <v>431</v>
      </c>
      <c r="X43" s="146" t="s">
        <v>431</v>
      </c>
      <c r="Y43" s="146" t="s">
        <v>431</v>
      </c>
      <c r="Z43" s="146" t="s">
        <v>431</v>
      </c>
      <c r="AA43" s="257" t="s">
        <v>431</v>
      </c>
      <c r="AB43" s="74">
        <f>'Technology Assumptions'!B$22*2000</f>
        <v>250</v>
      </c>
      <c r="AC43" s="74">
        <f>'Technology Assumptions'!C$22*2000</f>
        <v>250</v>
      </c>
      <c r="AD43" s="74">
        <f>'Technology Assumptions'!D$22*2000</f>
        <v>250</v>
      </c>
      <c r="AE43" s="75">
        <f>'Technology Assumptions'!E$22*2000</f>
        <v>250</v>
      </c>
      <c r="AF43" s="68" t="s">
        <v>431</v>
      </c>
      <c r="AG43" s="51" t="s">
        <v>431</v>
      </c>
      <c r="AH43" s="51" t="s">
        <v>431</v>
      </c>
      <c r="AI43" s="65" t="s">
        <v>431</v>
      </c>
      <c r="AJ43" s="51" t="s">
        <v>431</v>
      </c>
      <c r="AK43" s="51" t="s">
        <v>431</v>
      </c>
      <c r="AL43" s="51" t="s">
        <v>431</v>
      </c>
      <c r="AM43" s="65" t="s">
        <v>431</v>
      </c>
      <c r="AN43" s="51" t="s">
        <v>431</v>
      </c>
      <c r="AO43" s="51" t="s">
        <v>431</v>
      </c>
      <c r="AP43" s="51" t="s">
        <v>431</v>
      </c>
      <c r="AQ43" s="65" t="s">
        <v>431</v>
      </c>
      <c r="AR43" s="51" t="s">
        <v>431</v>
      </c>
      <c r="AS43" s="51" t="s">
        <v>431</v>
      </c>
      <c r="AT43" s="51" t="s">
        <v>431</v>
      </c>
      <c r="AU43" s="65" t="s">
        <v>431</v>
      </c>
      <c r="AV43" s="51" t="s">
        <v>431</v>
      </c>
      <c r="AW43" s="51" t="s">
        <v>431</v>
      </c>
      <c r="AX43" s="51" t="s">
        <v>431</v>
      </c>
      <c r="AY43" s="65" t="s">
        <v>431</v>
      </c>
      <c r="AZ43" s="51" t="s">
        <v>431</v>
      </c>
      <c r="BA43" s="51" t="s">
        <v>431</v>
      </c>
      <c r="BB43" s="51" t="s">
        <v>431</v>
      </c>
      <c r="BC43" s="65" t="s">
        <v>431</v>
      </c>
      <c r="BD43" s="51" t="s">
        <v>431</v>
      </c>
      <c r="BE43" s="51" t="s">
        <v>431</v>
      </c>
      <c r="BF43" s="51" t="s">
        <v>431</v>
      </c>
      <c r="BG43" s="65" t="s">
        <v>431</v>
      </c>
      <c r="BH43" s="675" t="s">
        <v>431</v>
      </c>
      <c r="BI43" s="675" t="s">
        <v>431</v>
      </c>
      <c r="BJ43" s="675" t="s">
        <v>431</v>
      </c>
      <c r="BK43" s="676" t="s">
        <v>431</v>
      </c>
      <c r="BL43" s="78">
        <f>'Technology Assumptions'!B$30*$C43</f>
        <v>144.76435579861669</v>
      </c>
      <c r="BM43" s="78">
        <f>'Technology Assumptions'!C$30*$C43</f>
        <v>144.76435579861669</v>
      </c>
      <c r="BN43" s="78">
        <f>'Technology Assumptions'!D$30*$C43</f>
        <v>144.76435579861669</v>
      </c>
      <c r="BO43" s="239">
        <f>'Technology Assumptions'!E$30*$C43</f>
        <v>144.76435579861669</v>
      </c>
    </row>
    <row r="44" spans="1:67" x14ac:dyDescent="0.25">
      <c r="A44" s="1092" t="s">
        <v>517</v>
      </c>
      <c r="B44" s="2" t="s">
        <v>505</v>
      </c>
      <c r="C44" s="32"/>
      <c r="D44" s="32"/>
      <c r="E44" s="119"/>
      <c r="F44" s="172"/>
      <c r="G44" s="51"/>
      <c r="H44" s="51"/>
      <c r="I44" s="140"/>
      <c r="J44" s="84"/>
      <c r="K44" s="333"/>
      <c r="L44" s="66"/>
      <c r="M44" s="66"/>
      <c r="N44" s="334"/>
      <c r="O44" s="84"/>
      <c r="P44" s="77"/>
      <c r="Q44" s="78"/>
      <c r="R44" s="78"/>
      <c r="S44" s="79"/>
      <c r="T44" s="51"/>
      <c r="U44" s="51"/>
      <c r="V44" s="51"/>
      <c r="W44" s="65"/>
      <c r="X44" s="146"/>
      <c r="Y44" s="146"/>
      <c r="Z44" s="146"/>
      <c r="AA44" s="257"/>
      <c r="AB44" s="51"/>
      <c r="AC44" s="51"/>
      <c r="AD44" s="51"/>
      <c r="AE44" s="65"/>
      <c r="AF44" s="68"/>
      <c r="AG44" s="51"/>
      <c r="AH44" s="51"/>
      <c r="AI44" s="65"/>
      <c r="AJ44" s="51"/>
      <c r="AK44" s="51"/>
      <c r="AL44" s="51"/>
      <c r="AM44" s="65"/>
      <c r="AN44" s="51"/>
      <c r="AO44" s="51"/>
      <c r="AP44" s="51"/>
      <c r="AQ44" s="65"/>
      <c r="AR44" s="51"/>
      <c r="AS44" s="51"/>
      <c r="AT44" s="51"/>
      <c r="AU44" s="65"/>
      <c r="AV44" s="51"/>
      <c r="AW44" s="51"/>
      <c r="AX44" s="51"/>
      <c r="AY44" s="65"/>
      <c r="AZ44" s="51"/>
      <c r="BA44" s="51"/>
      <c r="BB44" s="51"/>
      <c r="BC44" s="65"/>
      <c r="BD44" s="51"/>
      <c r="BE44" s="51"/>
      <c r="BF44" s="51"/>
      <c r="BG44" s="65"/>
      <c r="BH44" s="675"/>
      <c r="BI44" s="675"/>
      <c r="BJ44" s="675"/>
      <c r="BK44" s="676"/>
      <c r="BL44" s="78"/>
      <c r="BM44" s="78"/>
      <c r="BN44" s="78"/>
      <c r="BO44" s="239"/>
    </row>
    <row r="45" spans="1:67" x14ac:dyDescent="0.25">
      <c r="A45" s="1093"/>
      <c r="B45" s="12" t="s">
        <v>535</v>
      </c>
      <c r="C45" s="32">
        <f>'Energy Content Assumptions'!B42*2000/1000000</f>
        <v>14.763999999999999</v>
      </c>
      <c r="D45" s="32" t="s">
        <v>261</v>
      </c>
      <c r="E45" s="119"/>
      <c r="F45" s="333" t="str">
        <f>IF($F$2='Bioenergy Calculator'!$X$9,AF45,IF($F$2='Bioenergy Calculator'!$X$10,AJ45,IF($F$2='Bioenergy Calculator'!$X$11,AN45,IF($F$2='Bioenergy Calculator'!$X$12,P45,IF($F$2='Bioenergy Calculator'!$X$13,AR45,IF($F$2='Bioenergy Calculator'!$X$14,AV45,IF($F$2='Bioenergy Calculator'!$X$15,AZ45,"NA")))))))</f>
        <v>NA</v>
      </c>
      <c r="G45" s="66" t="str">
        <f>IF($F$2='Bioenergy Calculator'!$X$9,AG45,IF($F$2='Bioenergy Calculator'!$X$10,AK45,IF($F$2='Bioenergy Calculator'!$X$11,AO45,IF($F$2='Bioenergy Calculator'!$X$12,Q45,IF($F$2='Bioenergy Calculator'!$X$13,AS45,IF($F$2='Bioenergy Calculator'!$X$14,AW45,IF($F$2='Bioenergy Calculator'!$X$15,BA45,"NA")))))))</f>
        <v>NA</v>
      </c>
      <c r="H45" s="66" t="str">
        <f>IF($F$2='Bioenergy Calculator'!$X$9,AH45,IF($F$2='Bioenergy Calculator'!$X$10,AL45,IF($F$2='Bioenergy Calculator'!$X$11,AP45,IF($F$2='Bioenergy Calculator'!$X$12,R45,IF($F$2='Bioenergy Calculator'!$X$13,AT45,IF($F$2='Bioenergy Calculator'!$X$14,AX45,IF($F$2='Bioenergy Calculator'!$X$15,BB45,"NA")))))))</f>
        <v>NA</v>
      </c>
      <c r="I45" s="334" t="str">
        <f>IF($F$2='Bioenergy Calculator'!$X$9,AI45,IF($F$2='Bioenergy Calculator'!$X$10,AM45,IF($F$2='Bioenergy Calculator'!$X$11,AQ45,IF($F$2='Bioenergy Calculator'!$X$12,S45,IF($F$2='Bioenergy Calculator'!$X$13,AU45,IF($F$2='Bioenergy Calculator'!$X$14,AY45,IF($F$2='Bioenergy Calculator'!$X$15,BC45,"NA")))))))</f>
        <v>NA</v>
      </c>
      <c r="J45" s="117"/>
      <c r="K45" s="333" t="str">
        <f>IF($K$2='Bioenergy Calculator'!$X$21,X45,IF($K$2='Bioenergy Calculator'!$X$22,BH45,IF($K$2='Bioenergy Calculator'!$X$23,BD45,IF($K$2='Bioenergy Calculator'!$X$19,T45,IF($K$2='Bioenergy Calculator'!$X$20,AB45,IF($K$2='Bioenergy Calculator'!$X$24,'Conversion Tables'!BL45,"NA"))))))</f>
        <v>NA</v>
      </c>
      <c r="L45" s="66" t="str">
        <f>IF($K$2='Bioenergy Calculator'!$X$21,Y45,IF($K$2='Bioenergy Calculator'!$X$22,BI45,IF($K$2='Bioenergy Calculator'!$X$23,BE45,IF($K$2='Bioenergy Calculator'!$X$19,U45,IF($K$2='Bioenergy Calculator'!$X$20,AC45,IF($K$2='Bioenergy Calculator'!$X$24,'Conversion Tables'!BM45,"NA"))))))</f>
        <v>NA</v>
      </c>
      <c r="M45" s="66" t="str">
        <f>IF($K$2='Bioenergy Calculator'!$X$21,Z45,IF($K$2='Bioenergy Calculator'!$X$22,BJ45,IF($K$2='Bioenergy Calculator'!$X$23,BF45,IF($K$2='Bioenergy Calculator'!$X$19,V45,IF($K$2='Bioenergy Calculator'!$X$20,AD45,IF($K$2='Bioenergy Calculator'!$X$24,'Conversion Tables'!BN45,"NA"))))))</f>
        <v>NA</v>
      </c>
      <c r="N45" s="334" t="str">
        <f>IF($K$2='Bioenergy Calculator'!$X$21,AA45,IF($K$2='Bioenergy Calculator'!$X$22,BK45,IF($K$2='Bioenergy Calculator'!$X$23,BG45,IF($K$2='Bioenergy Calculator'!$X$19,W45,IF($K$2='Bioenergy Calculator'!$X$20,AE45,IF($K$2='Bioenergy Calculator'!$X$24,'Conversion Tables'!BO45,"NA"))))))</f>
        <v>NA</v>
      </c>
      <c r="O45" s="84"/>
      <c r="P45" s="77">
        <f>('Energy Content Assumptions'!$B$69/'Technology Assumptions'!B$8)/1000</f>
        <v>12.998095238095237</v>
      </c>
      <c r="Q45" s="78">
        <f>('Energy Content Assumptions'!$B$69/'Technology Assumptions'!C$8)/1000</f>
        <v>12.998095238095237</v>
      </c>
      <c r="R45" s="78">
        <f>('Energy Content Assumptions'!$B$69/'Technology Assumptions'!D$8)/1000</f>
        <v>12.998095238095237</v>
      </c>
      <c r="S45" s="79">
        <f>('Energy Content Assumptions'!$B$69/'Technology Assumptions'!E$8)/1000</f>
        <v>12.998095238095237</v>
      </c>
      <c r="T45" s="51" t="s">
        <v>431</v>
      </c>
      <c r="U45" s="51" t="s">
        <v>431</v>
      </c>
      <c r="V45" s="51" t="s">
        <v>431</v>
      </c>
      <c r="W45" s="65" t="s">
        <v>431</v>
      </c>
      <c r="X45" s="146" t="s">
        <v>431</v>
      </c>
      <c r="Y45" s="146" t="s">
        <v>431</v>
      </c>
      <c r="Z45" s="146" t="s">
        <v>431</v>
      </c>
      <c r="AA45" s="257" t="s">
        <v>431</v>
      </c>
      <c r="AB45" s="51" t="s">
        <v>431</v>
      </c>
      <c r="AC45" s="51" t="s">
        <v>431</v>
      </c>
      <c r="AD45" s="51" t="s">
        <v>431</v>
      </c>
      <c r="AE45" s="65" t="s">
        <v>431</v>
      </c>
      <c r="AF45" s="669">
        <f>('Energy Content Assumptions'!$B$69/'Technology Assumptions'!B$4)/1000</f>
        <v>13.648</v>
      </c>
      <c r="AG45" s="135">
        <f>('Energy Content Assumptions'!$B$69/'Technology Assumptions'!C$4)/1000</f>
        <v>13.648</v>
      </c>
      <c r="AH45" s="135">
        <f>('Energy Content Assumptions'!$B$69/'Technology Assumptions'!D$4)/1000</f>
        <v>13.648</v>
      </c>
      <c r="AI45" s="136">
        <f>('Energy Content Assumptions'!$B$69/'Technology Assumptions'!E$4)/1000</f>
        <v>13.648</v>
      </c>
      <c r="AJ45" s="135">
        <f>('Energy Content Assumptions'!$B$69/'Technology Assumptions'!B$5)/1000</f>
        <v>14.216666666666669</v>
      </c>
      <c r="AK45" s="135">
        <f>('Energy Content Assumptions'!$B$69/'Technology Assumptions'!C$5)/1000</f>
        <v>14.216666666666669</v>
      </c>
      <c r="AL45" s="135">
        <f>('Energy Content Assumptions'!$B$69/'Technology Assumptions'!D$5)/1000</f>
        <v>14.216666666666669</v>
      </c>
      <c r="AM45" s="136">
        <f>('Energy Content Assumptions'!$B$69/'Technology Assumptions'!E$5)/1000</f>
        <v>14.216666666666669</v>
      </c>
      <c r="AN45" s="3" t="s">
        <v>431</v>
      </c>
      <c r="AO45" s="3" t="s">
        <v>431</v>
      </c>
      <c r="AP45" s="3" t="s">
        <v>431</v>
      </c>
      <c r="AQ45" s="315" t="s">
        <v>431</v>
      </c>
      <c r="AR45" s="135">
        <f>('Energy Content Assumptions'!$B$69/'Technology Assumptions'!B$6)/1000</f>
        <v>9.7485714285714291</v>
      </c>
      <c r="AS45" s="135">
        <f>('Energy Content Assumptions'!$B$69/'Technology Assumptions'!C$6)/1000</f>
        <v>9.7485714285714291</v>
      </c>
      <c r="AT45" s="135">
        <f>('Energy Content Assumptions'!$B$69/'Technology Assumptions'!D$6)/1000</f>
        <v>9.7485714285714291</v>
      </c>
      <c r="AU45" s="136">
        <f>('Energy Content Assumptions'!$B$69/'Technology Assumptions'!E$6)/1000</f>
        <v>9.7485714285714291</v>
      </c>
      <c r="AV45" s="316">
        <f>('Energy Content Assumptions'!$B$69/'Technology Assumptions'!B$12)/1000</f>
        <v>16.247619047619047</v>
      </c>
      <c r="AW45" s="316">
        <f>('Energy Content Assumptions'!$B$69/'Technology Assumptions'!C$12)/1000</f>
        <v>16.247619047619047</v>
      </c>
      <c r="AX45" s="316">
        <f>('Energy Content Assumptions'!$B$69/'Technology Assumptions'!D$12)/1000</f>
        <v>16.247619047619047</v>
      </c>
      <c r="AY45" s="326">
        <f>('Energy Content Assumptions'!$B$69/'Technology Assumptions'!E$12)/1000</f>
        <v>16.247619047619047</v>
      </c>
      <c r="AZ45" s="51" t="s">
        <v>431</v>
      </c>
      <c r="BA45" s="51" t="s">
        <v>431</v>
      </c>
      <c r="BB45" s="51" t="s">
        <v>431</v>
      </c>
      <c r="BC45" s="65" t="s">
        <v>431</v>
      </c>
      <c r="BD45" s="51" t="s">
        <v>431</v>
      </c>
      <c r="BE45" s="51" t="s">
        <v>431</v>
      </c>
      <c r="BF45" s="51" t="s">
        <v>431</v>
      </c>
      <c r="BG45" s="65" t="s">
        <v>431</v>
      </c>
      <c r="BH45" s="675" t="s">
        <v>431</v>
      </c>
      <c r="BI45" s="675" t="s">
        <v>431</v>
      </c>
      <c r="BJ45" s="675" t="s">
        <v>431</v>
      </c>
      <c r="BK45" s="676" t="s">
        <v>431</v>
      </c>
      <c r="BL45" s="78">
        <f>'Technology Assumptions'!B$30*$C45</f>
        <v>71.243364967025897</v>
      </c>
      <c r="BM45" s="78">
        <f>'Technology Assumptions'!C$30*$C45</f>
        <v>71.243364967025897</v>
      </c>
      <c r="BN45" s="78">
        <f>'Technology Assumptions'!D$30*$C45</f>
        <v>71.243364967025897</v>
      </c>
      <c r="BO45" s="239">
        <f>'Technology Assumptions'!E$30*$C45</f>
        <v>71.243364967025897</v>
      </c>
    </row>
    <row r="46" spans="1:67" ht="12.75" customHeight="1" x14ac:dyDescent="0.25">
      <c r="A46" s="1093"/>
      <c r="B46" s="12" t="s">
        <v>539</v>
      </c>
      <c r="C46" s="32">
        <f>'Energy Content Assumptions'!B45*2000/1000000</f>
        <v>14.763999999999999</v>
      </c>
      <c r="D46" s="32" t="s">
        <v>261</v>
      </c>
      <c r="E46" s="119"/>
      <c r="F46" s="333" t="str">
        <f>IF($F$2='Bioenergy Calculator'!$X$9,AF46,IF($F$2='Bioenergy Calculator'!$X$10,AJ46,IF($F$2='Bioenergy Calculator'!$X$11,AN46,IF($F$2='Bioenergy Calculator'!$X$12,P46,IF($F$2='Bioenergy Calculator'!$X$13,AR46,IF($F$2='Bioenergy Calculator'!$X$14,AV46,IF($F$2='Bioenergy Calculator'!$X$15,AZ46,"NA")))))))</f>
        <v>NA</v>
      </c>
      <c r="G46" s="66" t="str">
        <f>IF($F$2='Bioenergy Calculator'!$X$9,AG46,IF($F$2='Bioenergy Calculator'!$X$10,AK46,IF($F$2='Bioenergy Calculator'!$X$11,AO46,IF($F$2='Bioenergy Calculator'!$X$12,Q46,IF($F$2='Bioenergy Calculator'!$X$13,AS46,IF($F$2='Bioenergy Calculator'!$X$14,AW46,IF($F$2='Bioenergy Calculator'!$X$15,BA46,"NA")))))))</f>
        <v>NA</v>
      </c>
      <c r="H46" s="66" t="str">
        <f>IF($F$2='Bioenergy Calculator'!$X$9,AH46,IF($F$2='Bioenergy Calculator'!$X$10,AL46,IF($F$2='Bioenergy Calculator'!$X$11,AP46,IF($F$2='Bioenergy Calculator'!$X$12,R46,IF($F$2='Bioenergy Calculator'!$X$13,AT46,IF($F$2='Bioenergy Calculator'!$X$14,AX46,IF($F$2='Bioenergy Calculator'!$X$15,BB46,"NA")))))))</f>
        <v>NA</v>
      </c>
      <c r="I46" s="334" t="str">
        <f>IF($F$2='Bioenergy Calculator'!$X$9,AI46,IF($F$2='Bioenergy Calculator'!$X$10,AM46,IF($F$2='Bioenergy Calculator'!$X$11,AQ46,IF($F$2='Bioenergy Calculator'!$X$12,S46,IF($F$2='Bioenergy Calculator'!$X$13,AU46,IF($F$2='Bioenergy Calculator'!$X$14,AY46,IF($F$2='Bioenergy Calculator'!$X$15,BC46,"NA")))))))</f>
        <v>NA</v>
      </c>
      <c r="J46" s="117"/>
      <c r="K46" s="333" t="str">
        <f>IF($K$2='Bioenergy Calculator'!$X$21,X46,IF($K$2='Bioenergy Calculator'!$X$22,BH46,IF($K$2='Bioenergy Calculator'!$X$23,BD46,IF($K$2='Bioenergy Calculator'!$X$19,T46,IF($K$2='Bioenergy Calculator'!$X$20,AB46,IF($K$2='Bioenergy Calculator'!$X$24,'Conversion Tables'!BL46,"NA"))))))</f>
        <v>NA</v>
      </c>
      <c r="L46" s="66" t="str">
        <f>IF($K$2='Bioenergy Calculator'!$X$21,Y46,IF($K$2='Bioenergy Calculator'!$X$22,BI46,IF($K$2='Bioenergy Calculator'!$X$23,BE46,IF($K$2='Bioenergy Calculator'!$X$19,U46,IF($K$2='Bioenergy Calculator'!$X$20,AC46,IF($K$2='Bioenergy Calculator'!$X$24,'Conversion Tables'!BM46,"NA"))))))</f>
        <v>NA</v>
      </c>
      <c r="M46" s="66" t="str">
        <f>IF($K$2='Bioenergy Calculator'!$X$21,Z46,IF($K$2='Bioenergy Calculator'!$X$22,BJ46,IF($K$2='Bioenergy Calculator'!$X$23,BF46,IF($K$2='Bioenergy Calculator'!$X$19,V46,IF($K$2='Bioenergy Calculator'!$X$20,AD46,IF($K$2='Bioenergy Calculator'!$X$24,'Conversion Tables'!BN46,"NA"))))))</f>
        <v>NA</v>
      </c>
      <c r="N46" s="334" t="str">
        <f>IF($K$2='Bioenergy Calculator'!$X$21,AA46,IF($K$2='Bioenergy Calculator'!$X$22,BK46,IF($K$2='Bioenergy Calculator'!$X$23,BG46,IF($K$2='Bioenergy Calculator'!$X$19,W46,IF($K$2='Bioenergy Calculator'!$X$20,AE46,IF($K$2='Bioenergy Calculator'!$X$24,'Conversion Tables'!BO46,"NA"))))))</f>
        <v>NA</v>
      </c>
      <c r="O46" s="84"/>
      <c r="P46" s="77">
        <f>('Energy Content Assumptions'!$B$69/'Technology Assumptions'!B$8)/1000</f>
        <v>12.998095238095237</v>
      </c>
      <c r="Q46" s="78">
        <f>('Energy Content Assumptions'!$B$69/'Technology Assumptions'!C$8)/1000</f>
        <v>12.998095238095237</v>
      </c>
      <c r="R46" s="78">
        <f>('Energy Content Assumptions'!$B$69/'Technology Assumptions'!D$8)/1000</f>
        <v>12.998095238095237</v>
      </c>
      <c r="S46" s="79">
        <f>('Energy Content Assumptions'!$B$69/'Technology Assumptions'!E$8)/1000</f>
        <v>12.998095238095237</v>
      </c>
      <c r="T46" s="51" t="s">
        <v>431</v>
      </c>
      <c r="U46" s="51" t="s">
        <v>431</v>
      </c>
      <c r="V46" s="51" t="s">
        <v>431</v>
      </c>
      <c r="W46" s="65" t="s">
        <v>431</v>
      </c>
      <c r="X46" s="146" t="s">
        <v>431</v>
      </c>
      <c r="Y46" s="146" t="s">
        <v>431</v>
      </c>
      <c r="Z46" s="146" t="s">
        <v>431</v>
      </c>
      <c r="AA46" s="257" t="s">
        <v>431</v>
      </c>
      <c r="AB46" s="51" t="s">
        <v>431</v>
      </c>
      <c r="AC46" s="51" t="s">
        <v>431</v>
      </c>
      <c r="AD46" s="51" t="s">
        <v>431</v>
      </c>
      <c r="AE46" s="65" t="s">
        <v>431</v>
      </c>
      <c r="AF46" s="669" t="s">
        <v>431</v>
      </c>
      <c r="AG46" s="135" t="s">
        <v>431</v>
      </c>
      <c r="AH46" s="135" t="s">
        <v>431</v>
      </c>
      <c r="AI46" s="136" t="s">
        <v>431</v>
      </c>
      <c r="AJ46" s="135" t="s">
        <v>431</v>
      </c>
      <c r="AK46" s="135" t="s">
        <v>431</v>
      </c>
      <c r="AL46" s="135" t="s">
        <v>431</v>
      </c>
      <c r="AM46" s="136" t="s">
        <v>431</v>
      </c>
      <c r="AN46" s="3" t="s">
        <v>431</v>
      </c>
      <c r="AO46" s="3" t="s">
        <v>431</v>
      </c>
      <c r="AP46" s="3" t="s">
        <v>431</v>
      </c>
      <c r="AQ46" s="315" t="s">
        <v>431</v>
      </c>
      <c r="AR46" s="3" t="s">
        <v>431</v>
      </c>
      <c r="AS46" s="3" t="s">
        <v>431</v>
      </c>
      <c r="AT46" s="3" t="s">
        <v>431</v>
      </c>
      <c r="AU46" s="315" t="s">
        <v>431</v>
      </c>
      <c r="AV46" s="3" t="s">
        <v>431</v>
      </c>
      <c r="AW46" s="3" t="s">
        <v>431</v>
      </c>
      <c r="AX46" s="3" t="s">
        <v>431</v>
      </c>
      <c r="AY46" s="315" t="s">
        <v>431</v>
      </c>
      <c r="AZ46" s="51" t="s">
        <v>431</v>
      </c>
      <c r="BA46" s="51" t="s">
        <v>431</v>
      </c>
      <c r="BB46" s="51" t="s">
        <v>431</v>
      </c>
      <c r="BC46" s="65" t="s">
        <v>431</v>
      </c>
      <c r="BD46" s="51" t="s">
        <v>431</v>
      </c>
      <c r="BE46" s="51" t="s">
        <v>431</v>
      </c>
      <c r="BF46" s="51" t="s">
        <v>431</v>
      </c>
      <c r="BG46" s="65" t="s">
        <v>431</v>
      </c>
      <c r="BH46" s="675" t="s">
        <v>431</v>
      </c>
      <c r="BI46" s="675" t="s">
        <v>431</v>
      </c>
      <c r="BJ46" s="675" t="s">
        <v>431</v>
      </c>
      <c r="BK46" s="676" t="s">
        <v>431</v>
      </c>
      <c r="BL46" s="78">
        <f>'Technology Assumptions'!B$30*$C46</f>
        <v>71.243364967025897</v>
      </c>
      <c r="BM46" s="78">
        <f>'Technology Assumptions'!C$30*$C46</f>
        <v>71.243364967025897</v>
      </c>
      <c r="BN46" s="78">
        <f>'Technology Assumptions'!D$30*$C46</f>
        <v>71.243364967025897</v>
      </c>
      <c r="BO46" s="239">
        <f>'Technology Assumptions'!E$30*$C46</f>
        <v>71.243364967025897</v>
      </c>
    </row>
    <row r="47" spans="1:67" x14ac:dyDescent="0.25">
      <c r="A47" s="1093"/>
      <c r="B47" s="12" t="s">
        <v>545</v>
      </c>
      <c r="C47" s="32">
        <f>'Energy Content Assumptions'!B50*2000/1000000</f>
        <v>14.763999999999999</v>
      </c>
      <c r="D47" s="32" t="s">
        <v>261</v>
      </c>
      <c r="E47" s="118"/>
      <c r="F47" s="333" t="str">
        <f>IF($F$2='Bioenergy Calculator'!$X$9,AF47,IF($F$2='Bioenergy Calculator'!$X$10,AJ47,IF($F$2='Bioenergy Calculator'!$X$11,AN47,IF($F$2='Bioenergy Calculator'!$X$12,P47,IF($F$2='Bioenergy Calculator'!$X$13,AR47,IF($F$2='Bioenergy Calculator'!$X$14,AV47,IF($F$2='Bioenergy Calculator'!$X$15,AZ47,"NA")))))))</f>
        <v>NA</v>
      </c>
      <c r="G47" s="66" t="str">
        <f>IF($F$2='Bioenergy Calculator'!$X$9,AG47,IF($F$2='Bioenergy Calculator'!$X$10,AK47,IF($F$2='Bioenergy Calculator'!$X$11,AO47,IF($F$2='Bioenergy Calculator'!$X$12,Q47,IF($F$2='Bioenergy Calculator'!$X$13,AS47,IF($F$2='Bioenergy Calculator'!$X$14,AW47,IF($F$2='Bioenergy Calculator'!$X$15,BA47,"NA")))))))</f>
        <v>NA</v>
      </c>
      <c r="H47" s="66" t="str">
        <f>IF($F$2='Bioenergy Calculator'!$X$9,AH47,IF($F$2='Bioenergy Calculator'!$X$10,AL47,IF($F$2='Bioenergy Calculator'!$X$11,AP47,IF($F$2='Bioenergy Calculator'!$X$12,R47,IF($F$2='Bioenergy Calculator'!$X$13,AT47,IF($F$2='Bioenergy Calculator'!$X$14,AX47,IF($F$2='Bioenergy Calculator'!$X$15,BB47,"NA")))))))</f>
        <v>NA</v>
      </c>
      <c r="I47" s="334" t="str">
        <f>IF($F$2='Bioenergy Calculator'!$X$9,AI47,IF($F$2='Bioenergy Calculator'!$X$10,AM47,IF($F$2='Bioenergy Calculator'!$X$11,AQ47,IF($F$2='Bioenergy Calculator'!$X$12,S47,IF($F$2='Bioenergy Calculator'!$X$13,AU47,IF($F$2='Bioenergy Calculator'!$X$14,AY47,IF($F$2='Bioenergy Calculator'!$X$15,BC47,"NA")))))))</f>
        <v>NA</v>
      </c>
      <c r="J47" s="117"/>
      <c r="K47" s="333" t="str">
        <f>IF($K$2='Bioenergy Calculator'!$X$21,X47,IF($K$2='Bioenergy Calculator'!$X$22,BH47,IF($K$2='Bioenergy Calculator'!$X$23,BD47,IF($K$2='Bioenergy Calculator'!$X$19,T47,IF($K$2='Bioenergy Calculator'!$X$20,AB47,IF($K$2='Bioenergy Calculator'!$X$24,'Conversion Tables'!BL47,"NA"))))))</f>
        <v>NA</v>
      </c>
      <c r="L47" s="66" t="str">
        <f>IF($K$2='Bioenergy Calculator'!$X$21,Y47,IF($K$2='Bioenergy Calculator'!$X$22,BI47,IF($K$2='Bioenergy Calculator'!$X$23,BE47,IF($K$2='Bioenergy Calculator'!$X$19,U47,IF($K$2='Bioenergy Calculator'!$X$20,AC47,IF($K$2='Bioenergy Calculator'!$X$24,'Conversion Tables'!BM47,"NA"))))))</f>
        <v>NA</v>
      </c>
      <c r="M47" s="66" t="str">
        <f>IF($K$2='Bioenergy Calculator'!$X$21,Z47,IF($K$2='Bioenergy Calculator'!$X$22,BJ47,IF($K$2='Bioenergy Calculator'!$X$23,BF47,IF($K$2='Bioenergy Calculator'!$X$19,V47,IF($K$2='Bioenergy Calculator'!$X$20,AD47,IF($K$2='Bioenergy Calculator'!$X$24,'Conversion Tables'!BN47,"NA"))))))</f>
        <v>NA</v>
      </c>
      <c r="N47" s="334" t="str">
        <f>IF($K$2='Bioenergy Calculator'!$X$21,AA47,IF($K$2='Bioenergy Calculator'!$X$22,BK47,IF($K$2='Bioenergy Calculator'!$X$23,BG47,IF($K$2='Bioenergy Calculator'!$X$19,W47,IF($K$2='Bioenergy Calculator'!$X$20,AE47,IF($K$2='Bioenergy Calculator'!$X$24,'Conversion Tables'!BO47,"NA"))))))</f>
        <v>NA</v>
      </c>
      <c r="O47" s="84"/>
      <c r="P47" s="77">
        <f>('Energy Content Assumptions'!$B$69/'Technology Assumptions'!B$8)/1000</f>
        <v>12.998095238095237</v>
      </c>
      <c r="Q47" s="78">
        <f>('Energy Content Assumptions'!$B$69/'Technology Assumptions'!C$8)/1000</f>
        <v>12.998095238095237</v>
      </c>
      <c r="R47" s="78">
        <f>('Energy Content Assumptions'!$B$69/'Technology Assumptions'!D$8)/1000</f>
        <v>12.998095238095237</v>
      </c>
      <c r="S47" s="79">
        <f>('Energy Content Assumptions'!$B$69/'Technology Assumptions'!E$8)/1000</f>
        <v>12.998095238095237</v>
      </c>
      <c r="T47" s="51" t="s">
        <v>431</v>
      </c>
      <c r="U47" s="51" t="s">
        <v>431</v>
      </c>
      <c r="V47" s="51" t="s">
        <v>431</v>
      </c>
      <c r="W47" s="65" t="s">
        <v>431</v>
      </c>
      <c r="X47" s="146" t="s">
        <v>431</v>
      </c>
      <c r="Y47" s="146" t="s">
        <v>431</v>
      </c>
      <c r="Z47" s="146" t="s">
        <v>431</v>
      </c>
      <c r="AA47" s="257" t="s">
        <v>431</v>
      </c>
      <c r="AB47" s="51" t="s">
        <v>431</v>
      </c>
      <c r="AC47" s="51" t="s">
        <v>431</v>
      </c>
      <c r="AD47" s="51" t="s">
        <v>431</v>
      </c>
      <c r="AE47" s="65" t="s">
        <v>431</v>
      </c>
      <c r="AF47" s="669">
        <f>('Energy Content Assumptions'!$B$69/'Technology Assumptions'!B$4)/1000</f>
        <v>13.648</v>
      </c>
      <c r="AG47" s="135">
        <f>('Energy Content Assumptions'!$B$69/'Technology Assumptions'!C$4)/1000</f>
        <v>13.648</v>
      </c>
      <c r="AH47" s="135">
        <f>('Energy Content Assumptions'!$B$69/'Technology Assumptions'!D$4)/1000</f>
        <v>13.648</v>
      </c>
      <c r="AI47" s="136">
        <f>('Energy Content Assumptions'!$B$69/'Technology Assumptions'!E$4)/1000</f>
        <v>13.648</v>
      </c>
      <c r="AJ47" s="135">
        <f>('Energy Content Assumptions'!$B$69/'Technology Assumptions'!B$5)/1000</f>
        <v>14.216666666666669</v>
      </c>
      <c r="AK47" s="135">
        <f>('Energy Content Assumptions'!$B$69/'Technology Assumptions'!C$5)/1000</f>
        <v>14.216666666666669</v>
      </c>
      <c r="AL47" s="135">
        <f>('Energy Content Assumptions'!$B$69/'Technology Assumptions'!D$5)/1000</f>
        <v>14.216666666666669</v>
      </c>
      <c r="AM47" s="136">
        <f>('Energy Content Assumptions'!$B$69/'Technology Assumptions'!E$5)/1000</f>
        <v>14.216666666666669</v>
      </c>
      <c r="AN47" s="3" t="s">
        <v>431</v>
      </c>
      <c r="AO47" s="3" t="s">
        <v>431</v>
      </c>
      <c r="AP47" s="3" t="s">
        <v>431</v>
      </c>
      <c r="AQ47" s="315" t="s">
        <v>431</v>
      </c>
      <c r="AR47" s="135">
        <f>('Energy Content Assumptions'!$B$69/'Technology Assumptions'!B$6)/1000</f>
        <v>9.7485714285714291</v>
      </c>
      <c r="AS47" s="135">
        <f>('Energy Content Assumptions'!$B$69/'Technology Assumptions'!C$6)/1000</f>
        <v>9.7485714285714291</v>
      </c>
      <c r="AT47" s="135">
        <f>('Energy Content Assumptions'!$B$69/'Technology Assumptions'!D$6)/1000</f>
        <v>9.7485714285714291</v>
      </c>
      <c r="AU47" s="136">
        <f>('Energy Content Assumptions'!$B$69/'Technology Assumptions'!E$6)/1000</f>
        <v>9.7485714285714291</v>
      </c>
      <c r="AV47" s="316">
        <f>('Energy Content Assumptions'!$B$69/'Technology Assumptions'!B$12)/1000</f>
        <v>16.247619047619047</v>
      </c>
      <c r="AW47" s="316">
        <f>('Energy Content Assumptions'!$B$69/'Technology Assumptions'!C$12)/1000</f>
        <v>16.247619047619047</v>
      </c>
      <c r="AX47" s="316">
        <f>('Energy Content Assumptions'!$B$69/'Technology Assumptions'!D$12)/1000</f>
        <v>16.247619047619047</v>
      </c>
      <c r="AY47" s="326">
        <f>('Energy Content Assumptions'!$B$69/'Technology Assumptions'!E$12)/1000</f>
        <v>16.247619047619047</v>
      </c>
      <c r="AZ47" s="51" t="s">
        <v>431</v>
      </c>
      <c r="BA47" s="51" t="s">
        <v>431</v>
      </c>
      <c r="BB47" s="51" t="s">
        <v>431</v>
      </c>
      <c r="BC47" s="65" t="s">
        <v>431</v>
      </c>
      <c r="BD47" s="51" t="s">
        <v>431</v>
      </c>
      <c r="BE47" s="51" t="s">
        <v>431</v>
      </c>
      <c r="BF47" s="51" t="s">
        <v>431</v>
      </c>
      <c r="BG47" s="65" t="s">
        <v>431</v>
      </c>
      <c r="BH47" s="675" t="s">
        <v>431</v>
      </c>
      <c r="BI47" s="675" t="s">
        <v>431</v>
      </c>
      <c r="BJ47" s="675" t="s">
        <v>431</v>
      </c>
      <c r="BK47" s="676" t="s">
        <v>431</v>
      </c>
      <c r="BL47" s="78">
        <f>'Technology Assumptions'!B$30*$C47</f>
        <v>71.243364967025897</v>
      </c>
      <c r="BM47" s="78">
        <f>'Technology Assumptions'!C$30*$C47</f>
        <v>71.243364967025897</v>
      </c>
      <c r="BN47" s="78">
        <f>'Technology Assumptions'!D$30*$C47</f>
        <v>71.243364967025897</v>
      </c>
      <c r="BO47" s="239">
        <f>'Technology Assumptions'!E$30*$C47</f>
        <v>71.243364967025897</v>
      </c>
    </row>
    <row r="48" spans="1:67" x14ac:dyDescent="0.25">
      <c r="A48" s="1093"/>
      <c r="B48" s="12" t="s">
        <v>546</v>
      </c>
      <c r="C48" s="32">
        <f>'Energy Content Assumptions'!B51*2000/1000000</f>
        <v>14.763999999999999</v>
      </c>
      <c r="D48" s="32" t="s">
        <v>261</v>
      </c>
      <c r="E48" s="119"/>
      <c r="F48" s="333" t="str">
        <f>IF($F$2='Bioenergy Calculator'!$X$9,AF48,IF($F$2='Bioenergy Calculator'!$X$10,AJ48,IF($F$2='Bioenergy Calculator'!$X$11,AN48,IF($F$2='Bioenergy Calculator'!$X$12,P48,IF($F$2='Bioenergy Calculator'!$X$13,AR48,IF($F$2='Bioenergy Calculator'!$X$14,AV48,IF($F$2='Bioenergy Calculator'!$X$15,AZ48,"NA")))))))</f>
        <v>NA</v>
      </c>
      <c r="G48" s="66" t="str">
        <f>IF($F$2='Bioenergy Calculator'!$X$9,AG48,IF($F$2='Bioenergy Calculator'!$X$10,AK48,IF($F$2='Bioenergy Calculator'!$X$11,AO48,IF($F$2='Bioenergy Calculator'!$X$12,Q48,IF($F$2='Bioenergy Calculator'!$X$13,AS48,IF($F$2='Bioenergy Calculator'!$X$14,AW48,IF($F$2='Bioenergy Calculator'!$X$15,BA48,"NA")))))))</f>
        <v>NA</v>
      </c>
      <c r="H48" s="66" t="str">
        <f>IF($F$2='Bioenergy Calculator'!$X$9,AH48,IF($F$2='Bioenergy Calculator'!$X$10,AL48,IF($F$2='Bioenergy Calculator'!$X$11,AP48,IF($F$2='Bioenergy Calculator'!$X$12,R48,IF($F$2='Bioenergy Calculator'!$X$13,AT48,IF($F$2='Bioenergy Calculator'!$X$14,AX48,IF($F$2='Bioenergy Calculator'!$X$15,BB48,"NA")))))))</f>
        <v>NA</v>
      </c>
      <c r="I48" s="334" t="str">
        <f>IF($F$2='Bioenergy Calculator'!$X$9,AI48,IF($F$2='Bioenergy Calculator'!$X$10,AM48,IF($F$2='Bioenergy Calculator'!$X$11,AQ48,IF($F$2='Bioenergy Calculator'!$X$12,S48,IF($F$2='Bioenergy Calculator'!$X$13,AU48,IF($F$2='Bioenergy Calculator'!$X$14,AY48,IF($F$2='Bioenergy Calculator'!$X$15,BC48,"NA")))))))</f>
        <v>NA</v>
      </c>
      <c r="J48" s="117"/>
      <c r="K48" s="333" t="str">
        <f>IF($K$2='Bioenergy Calculator'!$X$21,X48,IF($K$2='Bioenergy Calculator'!$X$22,BH48,IF($K$2='Bioenergy Calculator'!$X$23,BD48,IF($K$2='Bioenergy Calculator'!$X$19,T48,IF($K$2='Bioenergy Calculator'!$X$20,AB48,IF($K$2='Bioenergy Calculator'!$X$24,'Conversion Tables'!BL48,"NA"))))))</f>
        <v>NA</v>
      </c>
      <c r="L48" s="66" t="str">
        <f>IF($K$2='Bioenergy Calculator'!$X$21,Y48,IF($K$2='Bioenergy Calculator'!$X$22,BI48,IF($K$2='Bioenergy Calculator'!$X$23,BE48,IF($K$2='Bioenergy Calculator'!$X$19,U48,IF($K$2='Bioenergy Calculator'!$X$20,AC48,IF($K$2='Bioenergy Calculator'!$X$24,'Conversion Tables'!BM48,"NA"))))))</f>
        <v>NA</v>
      </c>
      <c r="M48" s="66" t="str">
        <f>IF($K$2='Bioenergy Calculator'!$X$21,Z48,IF($K$2='Bioenergy Calculator'!$X$22,BJ48,IF($K$2='Bioenergy Calculator'!$X$23,BF48,IF($K$2='Bioenergy Calculator'!$X$19,V48,IF($K$2='Bioenergy Calculator'!$X$20,AD48,IF($K$2='Bioenergy Calculator'!$X$24,'Conversion Tables'!BN48,"NA"))))))</f>
        <v>NA</v>
      </c>
      <c r="N48" s="334" t="str">
        <f>IF($K$2='Bioenergy Calculator'!$X$21,AA48,IF($K$2='Bioenergy Calculator'!$X$22,BK48,IF($K$2='Bioenergy Calculator'!$X$23,BG48,IF($K$2='Bioenergy Calculator'!$X$19,W48,IF($K$2='Bioenergy Calculator'!$X$20,AE48,IF($K$2='Bioenergy Calculator'!$X$24,'Conversion Tables'!BO48,"NA"))))))</f>
        <v>NA</v>
      </c>
      <c r="O48" s="84"/>
      <c r="P48" s="77">
        <f>('Energy Content Assumptions'!$B$69/'Technology Assumptions'!B$8)/1000</f>
        <v>12.998095238095237</v>
      </c>
      <c r="Q48" s="78">
        <f>('Energy Content Assumptions'!$B$69/'Technology Assumptions'!C$8)/1000</f>
        <v>12.998095238095237</v>
      </c>
      <c r="R48" s="78">
        <f>('Energy Content Assumptions'!$B$69/'Technology Assumptions'!D$8)/1000</f>
        <v>12.998095238095237</v>
      </c>
      <c r="S48" s="79">
        <f>('Energy Content Assumptions'!$B$69/'Technology Assumptions'!E$8)/1000</f>
        <v>12.998095238095237</v>
      </c>
      <c r="T48" s="51" t="s">
        <v>431</v>
      </c>
      <c r="U48" s="51" t="s">
        <v>431</v>
      </c>
      <c r="V48" s="51" t="s">
        <v>431</v>
      </c>
      <c r="W48" s="65" t="s">
        <v>431</v>
      </c>
      <c r="X48" s="146" t="s">
        <v>431</v>
      </c>
      <c r="Y48" s="146" t="s">
        <v>431</v>
      </c>
      <c r="Z48" s="146" t="s">
        <v>431</v>
      </c>
      <c r="AA48" s="257" t="s">
        <v>431</v>
      </c>
      <c r="AB48" s="51" t="s">
        <v>431</v>
      </c>
      <c r="AC48" s="51" t="s">
        <v>431</v>
      </c>
      <c r="AD48" s="51" t="s">
        <v>431</v>
      </c>
      <c r="AE48" s="65" t="s">
        <v>431</v>
      </c>
      <c r="AF48" s="669" t="s">
        <v>431</v>
      </c>
      <c r="AG48" s="135" t="s">
        <v>431</v>
      </c>
      <c r="AH48" s="135" t="s">
        <v>431</v>
      </c>
      <c r="AI48" s="136" t="s">
        <v>431</v>
      </c>
      <c r="AJ48" s="135" t="s">
        <v>431</v>
      </c>
      <c r="AK48" s="135" t="s">
        <v>431</v>
      </c>
      <c r="AL48" s="135" t="s">
        <v>431</v>
      </c>
      <c r="AM48" s="136" t="s">
        <v>431</v>
      </c>
      <c r="AN48" s="3" t="s">
        <v>431</v>
      </c>
      <c r="AO48" s="3" t="s">
        <v>431</v>
      </c>
      <c r="AP48" s="3" t="s">
        <v>431</v>
      </c>
      <c r="AQ48" s="315" t="s">
        <v>431</v>
      </c>
      <c r="AR48" s="3" t="s">
        <v>431</v>
      </c>
      <c r="AS48" s="3" t="s">
        <v>431</v>
      </c>
      <c r="AT48" s="3" t="s">
        <v>431</v>
      </c>
      <c r="AU48" s="315" t="s">
        <v>431</v>
      </c>
      <c r="AV48" s="3" t="s">
        <v>431</v>
      </c>
      <c r="AW48" s="3" t="s">
        <v>431</v>
      </c>
      <c r="AX48" s="3" t="s">
        <v>431</v>
      </c>
      <c r="AY48" s="315" t="s">
        <v>431</v>
      </c>
      <c r="AZ48" s="51" t="s">
        <v>431</v>
      </c>
      <c r="BA48" s="51" t="s">
        <v>431</v>
      </c>
      <c r="BB48" s="51" t="s">
        <v>431</v>
      </c>
      <c r="BC48" s="65" t="s">
        <v>431</v>
      </c>
      <c r="BD48" s="51" t="s">
        <v>431</v>
      </c>
      <c r="BE48" s="51" t="s">
        <v>431</v>
      </c>
      <c r="BF48" s="51" t="s">
        <v>431</v>
      </c>
      <c r="BG48" s="65" t="s">
        <v>431</v>
      </c>
      <c r="BH48" s="675" t="s">
        <v>431</v>
      </c>
      <c r="BI48" s="675" t="s">
        <v>431</v>
      </c>
      <c r="BJ48" s="675" t="s">
        <v>431</v>
      </c>
      <c r="BK48" s="676" t="s">
        <v>431</v>
      </c>
      <c r="BL48" s="78">
        <f>'Technology Assumptions'!B$30*$C48</f>
        <v>71.243364967025897</v>
      </c>
      <c r="BM48" s="78">
        <f>'Technology Assumptions'!C$30*$C48</f>
        <v>71.243364967025897</v>
      </c>
      <c r="BN48" s="78">
        <f>'Technology Assumptions'!D$30*$C48</f>
        <v>71.243364967025897</v>
      </c>
      <c r="BO48" s="239">
        <f>'Technology Assumptions'!E$30*$C48</f>
        <v>71.243364967025897</v>
      </c>
    </row>
    <row r="49" spans="1:67" x14ac:dyDescent="0.25">
      <c r="A49" s="1093"/>
      <c r="B49" s="12" t="s">
        <v>547</v>
      </c>
      <c r="C49" s="32">
        <f>'Energy Content Assumptions'!B52*2000/1000000</f>
        <v>14.763999999999999</v>
      </c>
      <c r="D49" s="32" t="s">
        <v>261</v>
      </c>
      <c r="E49" s="119"/>
      <c r="F49" s="333" t="str">
        <f>IF($F$2='Bioenergy Calculator'!$X$9,AF49,IF($F$2='Bioenergy Calculator'!$X$10,AJ49,IF($F$2='Bioenergy Calculator'!$X$11,AN49,IF($F$2='Bioenergy Calculator'!$X$12,P49,IF($F$2='Bioenergy Calculator'!$X$13,AR49,IF($F$2='Bioenergy Calculator'!$X$14,AV49,IF($F$2='Bioenergy Calculator'!$X$15,AZ49,"NA")))))))</f>
        <v>NA</v>
      </c>
      <c r="G49" s="66" t="str">
        <f>IF($F$2='Bioenergy Calculator'!$X$9,AG49,IF($F$2='Bioenergy Calculator'!$X$10,AK49,IF($F$2='Bioenergy Calculator'!$X$11,AO49,IF($F$2='Bioenergy Calculator'!$X$12,Q49,IF($F$2='Bioenergy Calculator'!$X$13,AS49,IF($F$2='Bioenergy Calculator'!$X$14,AW49,IF($F$2='Bioenergy Calculator'!$X$15,BA49,"NA")))))))</f>
        <v>NA</v>
      </c>
      <c r="H49" s="66" t="str">
        <f>IF($F$2='Bioenergy Calculator'!$X$9,AH49,IF($F$2='Bioenergy Calculator'!$X$10,AL49,IF($F$2='Bioenergy Calculator'!$X$11,AP49,IF($F$2='Bioenergy Calculator'!$X$12,R49,IF($F$2='Bioenergy Calculator'!$X$13,AT49,IF($F$2='Bioenergy Calculator'!$X$14,AX49,IF($F$2='Bioenergy Calculator'!$X$15,BB49,"NA")))))))</f>
        <v>NA</v>
      </c>
      <c r="I49" s="334" t="str">
        <f>IF($F$2='Bioenergy Calculator'!$X$9,AI49,IF($F$2='Bioenergy Calculator'!$X$10,AM49,IF($F$2='Bioenergy Calculator'!$X$11,AQ49,IF($F$2='Bioenergy Calculator'!$X$12,S49,IF($F$2='Bioenergy Calculator'!$X$13,AU49,IF($F$2='Bioenergy Calculator'!$X$14,AY49,IF($F$2='Bioenergy Calculator'!$X$15,BC49,"NA")))))))</f>
        <v>NA</v>
      </c>
      <c r="J49" s="117"/>
      <c r="K49" s="333" t="str">
        <f>IF($K$2='Bioenergy Calculator'!$X$21,X49,IF($K$2='Bioenergy Calculator'!$X$22,BH49,IF($K$2='Bioenergy Calculator'!$X$23,BD49,IF($K$2='Bioenergy Calculator'!$X$19,T49,IF($K$2='Bioenergy Calculator'!$X$20,AB49,IF($K$2='Bioenergy Calculator'!$X$24,'Conversion Tables'!BL49,"NA"))))))</f>
        <v>NA</v>
      </c>
      <c r="L49" s="66" t="str">
        <f>IF($K$2='Bioenergy Calculator'!$X$21,Y49,IF($K$2='Bioenergy Calculator'!$X$22,BI49,IF($K$2='Bioenergy Calculator'!$X$23,BE49,IF($K$2='Bioenergy Calculator'!$X$19,U49,IF($K$2='Bioenergy Calculator'!$X$20,AC49,IF($K$2='Bioenergy Calculator'!$X$24,'Conversion Tables'!BM49,"NA"))))))</f>
        <v>NA</v>
      </c>
      <c r="M49" s="66" t="str">
        <f>IF($K$2='Bioenergy Calculator'!$X$21,Z49,IF($K$2='Bioenergy Calculator'!$X$22,BJ49,IF($K$2='Bioenergy Calculator'!$X$23,BF49,IF($K$2='Bioenergy Calculator'!$X$19,V49,IF($K$2='Bioenergy Calculator'!$X$20,AD49,IF($K$2='Bioenergy Calculator'!$X$24,'Conversion Tables'!BN49,"NA"))))))</f>
        <v>NA</v>
      </c>
      <c r="N49" s="334" t="str">
        <f>IF($K$2='Bioenergy Calculator'!$X$21,AA49,IF($K$2='Bioenergy Calculator'!$X$22,BK49,IF($K$2='Bioenergy Calculator'!$X$23,BG49,IF($K$2='Bioenergy Calculator'!$X$19,W49,IF($K$2='Bioenergy Calculator'!$X$20,AE49,IF($K$2='Bioenergy Calculator'!$X$24,'Conversion Tables'!BO49,"NA"))))))</f>
        <v>NA</v>
      </c>
      <c r="O49" s="84"/>
      <c r="P49" s="77">
        <f>('Energy Content Assumptions'!$B$69/'Technology Assumptions'!B$8)/1000</f>
        <v>12.998095238095237</v>
      </c>
      <c r="Q49" s="78">
        <f>('Energy Content Assumptions'!$B$69/'Technology Assumptions'!C$8)/1000</f>
        <v>12.998095238095237</v>
      </c>
      <c r="R49" s="78">
        <f>('Energy Content Assumptions'!$B$69/'Technology Assumptions'!D$8)/1000</f>
        <v>12.998095238095237</v>
      </c>
      <c r="S49" s="79">
        <f>('Energy Content Assumptions'!$B$69/'Technology Assumptions'!E$8)/1000</f>
        <v>12.998095238095237</v>
      </c>
      <c r="T49" s="51" t="s">
        <v>431</v>
      </c>
      <c r="U49" s="51" t="s">
        <v>431</v>
      </c>
      <c r="V49" s="51" t="s">
        <v>431</v>
      </c>
      <c r="W49" s="65" t="s">
        <v>431</v>
      </c>
      <c r="X49" s="146" t="s">
        <v>431</v>
      </c>
      <c r="Y49" s="146" t="s">
        <v>431</v>
      </c>
      <c r="Z49" s="146" t="s">
        <v>431</v>
      </c>
      <c r="AA49" s="257" t="s">
        <v>431</v>
      </c>
      <c r="AB49" s="51" t="s">
        <v>431</v>
      </c>
      <c r="AC49" s="51" t="s">
        <v>431</v>
      </c>
      <c r="AD49" s="51" t="s">
        <v>431</v>
      </c>
      <c r="AE49" s="65" t="s">
        <v>431</v>
      </c>
      <c r="AF49" s="669" t="s">
        <v>431</v>
      </c>
      <c r="AG49" s="135" t="s">
        <v>431</v>
      </c>
      <c r="AH49" s="135" t="s">
        <v>431</v>
      </c>
      <c r="AI49" s="136" t="s">
        <v>431</v>
      </c>
      <c r="AJ49" s="135" t="s">
        <v>431</v>
      </c>
      <c r="AK49" s="135" t="s">
        <v>431</v>
      </c>
      <c r="AL49" s="135" t="s">
        <v>431</v>
      </c>
      <c r="AM49" s="136" t="s">
        <v>431</v>
      </c>
      <c r="AN49" s="3" t="s">
        <v>431</v>
      </c>
      <c r="AO49" s="3" t="s">
        <v>431</v>
      </c>
      <c r="AP49" s="3" t="s">
        <v>431</v>
      </c>
      <c r="AQ49" s="315" t="s">
        <v>431</v>
      </c>
      <c r="AR49" s="3" t="s">
        <v>431</v>
      </c>
      <c r="AS49" s="3" t="s">
        <v>431</v>
      </c>
      <c r="AT49" s="3" t="s">
        <v>431</v>
      </c>
      <c r="AU49" s="315" t="s">
        <v>431</v>
      </c>
      <c r="AV49" s="3" t="s">
        <v>431</v>
      </c>
      <c r="AW49" s="3" t="s">
        <v>431</v>
      </c>
      <c r="AX49" s="3" t="s">
        <v>431</v>
      </c>
      <c r="AY49" s="315" t="s">
        <v>431</v>
      </c>
      <c r="AZ49" s="51" t="s">
        <v>431</v>
      </c>
      <c r="BA49" s="51" t="s">
        <v>431</v>
      </c>
      <c r="BB49" s="51" t="s">
        <v>431</v>
      </c>
      <c r="BC49" s="65" t="s">
        <v>431</v>
      </c>
      <c r="BD49" s="51" t="s">
        <v>431</v>
      </c>
      <c r="BE49" s="51" t="s">
        <v>431</v>
      </c>
      <c r="BF49" s="51" t="s">
        <v>431</v>
      </c>
      <c r="BG49" s="65" t="s">
        <v>431</v>
      </c>
      <c r="BH49" s="675" t="s">
        <v>431</v>
      </c>
      <c r="BI49" s="675" t="s">
        <v>431</v>
      </c>
      <c r="BJ49" s="675" t="s">
        <v>431</v>
      </c>
      <c r="BK49" s="676" t="s">
        <v>431</v>
      </c>
      <c r="BL49" s="78">
        <f>'Technology Assumptions'!B$30*$C49</f>
        <v>71.243364967025897</v>
      </c>
      <c r="BM49" s="78">
        <f>'Technology Assumptions'!C$30*$C49</f>
        <v>71.243364967025897</v>
      </c>
      <c r="BN49" s="78">
        <f>'Technology Assumptions'!D$30*$C49</f>
        <v>71.243364967025897</v>
      </c>
      <c r="BO49" s="239">
        <f>'Technology Assumptions'!E$30*$C49</f>
        <v>71.243364967025897</v>
      </c>
    </row>
    <row r="50" spans="1:67" x14ac:dyDescent="0.25">
      <c r="A50" s="1093"/>
      <c r="B50" s="12" t="s">
        <v>548</v>
      </c>
      <c r="C50" s="32">
        <f>'Energy Content Assumptions'!B53*2000/1000000</f>
        <v>14.763999999999999</v>
      </c>
      <c r="D50" s="32" t="s">
        <v>261</v>
      </c>
      <c r="E50" s="119"/>
      <c r="F50" s="333" t="str">
        <f>IF($F$2='Bioenergy Calculator'!$X$9,AF50,IF($F$2='Bioenergy Calculator'!$X$10,AJ50,IF($F$2='Bioenergy Calculator'!$X$11,AN50,IF($F$2='Bioenergy Calculator'!$X$12,P50,IF($F$2='Bioenergy Calculator'!$X$13,AR50,IF($F$2='Bioenergy Calculator'!$X$14,AV50,IF($F$2='Bioenergy Calculator'!$X$15,AZ50,"NA")))))))</f>
        <v>NA</v>
      </c>
      <c r="G50" s="66" t="str">
        <f>IF($F$2='Bioenergy Calculator'!$X$9,AG50,IF($F$2='Bioenergy Calculator'!$X$10,AK50,IF($F$2='Bioenergy Calculator'!$X$11,AO50,IF($F$2='Bioenergy Calculator'!$X$12,Q50,IF($F$2='Bioenergy Calculator'!$X$13,AS50,IF($F$2='Bioenergy Calculator'!$X$14,AW50,IF($F$2='Bioenergy Calculator'!$X$15,BA50,"NA")))))))</f>
        <v>NA</v>
      </c>
      <c r="H50" s="66" t="str">
        <f>IF($F$2='Bioenergy Calculator'!$X$9,AH50,IF($F$2='Bioenergy Calculator'!$X$10,AL50,IF($F$2='Bioenergy Calculator'!$X$11,AP50,IF($F$2='Bioenergy Calculator'!$X$12,R50,IF($F$2='Bioenergy Calculator'!$X$13,AT50,IF($F$2='Bioenergy Calculator'!$X$14,AX50,IF($F$2='Bioenergy Calculator'!$X$15,BB50,"NA")))))))</f>
        <v>NA</v>
      </c>
      <c r="I50" s="334" t="str">
        <f>IF($F$2='Bioenergy Calculator'!$X$9,AI50,IF($F$2='Bioenergy Calculator'!$X$10,AM50,IF($F$2='Bioenergy Calculator'!$X$11,AQ50,IF($F$2='Bioenergy Calculator'!$X$12,S50,IF($F$2='Bioenergy Calculator'!$X$13,AU50,IF($F$2='Bioenergy Calculator'!$X$14,AY50,IF($F$2='Bioenergy Calculator'!$X$15,BC50,"NA")))))))</f>
        <v>NA</v>
      </c>
      <c r="J50" s="117"/>
      <c r="K50" s="333" t="str">
        <f>IF($K$2='Bioenergy Calculator'!$X$21,X50,IF($K$2='Bioenergy Calculator'!$X$22,BH50,IF($K$2='Bioenergy Calculator'!$X$23,BD50,IF($K$2='Bioenergy Calculator'!$X$19,T50,IF($K$2='Bioenergy Calculator'!$X$20,AB50,IF($K$2='Bioenergy Calculator'!$X$24,'Conversion Tables'!BL50,"NA"))))))</f>
        <v>NA</v>
      </c>
      <c r="L50" s="66" t="str">
        <f>IF($K$2='Bioenergy Calculator'!$X$21,Y50,IF($K$2='Bioenergy Calculator'!$X$22,BI50,IF($K$2='Bioenergy Calculator'!$X$23,BE50,IF($K$2='Bioenergy Calculator'!$X$19,U50,IF($K$2='Bioenergy Calculator'!$X$20,AC50,IF($K$2='Bioenergy Calculator'!$X$24,'Conversion Tables'!BM50,"NA"))))))</f>
        <v>NA</v>
      </c>
      <c r="M50" s="66" t="str">
        <f>IF($K$2='Bioenergy Calculator'!$X$21,Z50,IF($K$2='Bioenergy Calculator'!$X$22,BJ50,IF($K$2='Bioenergy Calculator'!$X$23,BF50,IF($K$2='Bioenergy Calculator'!$X$19,V50,IF($K$2='Bioenergy Calculator'!$X$20,AD50,IF($K$2='Bioenergy Calculator'!$X$24,'Conversion Tables'!BN50,"NA"))))))</f>
        <v>NA</v>
      </c>
      <c r="N50" s="334" t="str">
        <f>IF($K$2='Bioenergy Calculator'!$X$21,AA50,IF($K$2='Bioenergy Calculator'!$X$22,BK50,IF($K$2='Bioenergy Calculator'!$X$23,BG50,IF($K$2='Bioenergy Calculator'!$X$19,W50,IF($K$2='Bioenergy Calculator'!$X$20,AE50,IF($K$2='Bioenergy Calculator'!$X$24,'Conversion Tables'!BO50,"NA"))))))</f>
        <v>NA</v>
      </c>
      <c r="O50" s="84"/>
      <c r="P50" s="77">
        <f>('Energy Content Assumptions'!$B$69/'Technology Assumptions'!B$8)/1000</f>
        <v>12.998095238095237</v>
      </c>
      <c r="Q50" s="78">
        <f>('Energy Content Assumptions'!$B$69/'Technology Assumptions'!C$8)/1000</f>
        <v>12.998095238095237</v>
      </c>
      <c r="R50" s="78">
        <f>('Energy Content Assumptions'!$B$69/'Technology Assumptions'!D$8)/1000</f>
        <v>12.998095238095237</v>
      </c>
      <c r="S50" s="79">
        <f>('Energy Content Assumptions'!$B$69/'Technology Assumptions'!E$8)/1000</f>
        <v>12.998095238095237</v>
      </c>
      <c r="T50" s="51" t="s">
        <v>431</v>
      </c>
      <c r="U50" s="51" t="s">
        <v>431</v>
      </c>
      <c r="V50" s="51" t="s">
        <v>431</v>
      </c>
      <c r="W50" s="65" t="s">
        <v>431</v>
      </c>
      <c r="X50" s="146" t="s">
        <v>431</v>
      </c>
      <c r="Y50" s="146" t="s">
        <v>431</v>
      </c>
      <c r="Z50" s="146" t="s">
        <v>431</v>
      </c>
      <c r="AA50" s="257" t="s">
        <v>431</v>
      </c>
      <c r="AB50" s="51" t="s">
        <v>431</v>
      </c>
      <c r="AC50" s="51" t="s">
        <v>431</v>
      </c>
      <c r="AD50" s="51" t="s">
        <v>431</v>
      </c>
      <c r="AE50" s="65" t="s">
        <v>431</v>
      </c>
      <c r="AF50" s="669" t="s">
        <v>431</v>
      </c>
      <c r="AG50" s="135" t="s">
        <v>431</v>
      </c>
      <c r="AH50" s="135" t="s">
        <v>431</v>
      </c>
      <c r="AI50" s="136" t="s">
        <v>431</v>
      </c>
      <c r="AJ50" s="135" t="s">
        <v>431</v>
      </c>
      <c r="AK50" s="135" t="s">
        <v>431</v>
      </c>
      <c r="AL50" s="135" t="s">
        <v>431</v>
      </c>
      <c r="AM50" s="136" t="s">
        <v>431</v>
      </c>
      <c r="AN50" s="3" t="s">
        <v>431</v>
      </c>
      <c r="AO50" s="3" t="s">
        <v>431</v>
      </c>
      <c r="AP50" s="3" t="s">
        <v>431</v>
      </c>
      <c r="AQ50" s="315" t="s">
        <v>431</v>
      </c>
      <c r="AR50" s="3" t="s">
        <v>431</v>
      </c>
      <c r="AS50" s="3" t="s">
        <v>431</v>
      </c>
      <c r="AT50" s="3" t="s">
        <v>431</v>
      </c>
      <c r="AU50" s="315" t="s">
        <v>431</v>
      </c>
      <c r="AV50" s="3" t="s">
        <v>431</v>
      </c>
      <c r="AW50" s="3" t="s">
        <v>431</v>
      </c>
      <c r="AX50" s="3" t="s">
        <v>431</v>
      </c>
      <c r="AY50" s="315" t="s">
        <v>431</v>
      </c>
      <c r="AZ50" s="51" t="s">
        <v>431</v>
      </c>
      <c r="BA50" s="51" t="s">
        <v>431</v>
      </c>
      <c r="BB50" s="51" t="s">
        <v>431</v>
      </c>
      <c r="BC50" s="65" t="s">
        <v>431</v>
      </c>
      <c r="BD50" s="51" t="s">
        <v>431</v>
      </c>
      <c r="BE50" s="51" t="s">
        <v>431</v>
      </c>
      <c r="BF50" s="51" t="s">
        <v>431</v>
      </c>
      <c r="BG50" s="65" t="s">
        <v>431</v>
      </c>
      <c r="BH50" s="675" t="s">
        <v>431</v>
      </c>
      <c r="BI50" s="675" t="s">
        <v>431</v>
      </c>
      <c r="BJ50" s="675" t="s">
        <v>431</v>
      </c>
      <c r="BK50" s="676" t="s">
        <v>431</v>
      </c>
      <c r="BL50" s="78">
        <f>'Technology Assumptions'!B$30*$C50</f>
        <v>71.243364967025897</v>
      </c>
      <c r="BM50" s="78">
        <f>'Technology Assumptions'!C$30*$C50</f>
        <v>71.243364967025897</v>
      </c>
      <c r="BN50" s="78">
        <f>'Technology Assumptions'!D$30*$C50</f>
        <v>71.243364967025897</v>
      </c>
      <c r="BO50" s="239">
        <f>'Technology Assumptions'!E$30*$C50</f>
        <v>71.243364967025897</v>
      </c>
    </row>
    <row r="51" spans="1:67" x14ac:dyDescent="0.25">
      <c r="A51" s="1093"/>
      <c r="B51" s="12" t="s">
        <v>551</v>
      </c>
      <c r="C51" s="32">
        <f>'Energy Content Assumptions'!B56*2000/1000000</f>
        <v>12</v>
      </c>
      <c r="D51" s="32" t="s">
        <v>261</v>
      </c>
      <c r="E51" s="119"/>
      <c r="F51" s="333" t="str">
        <f>IF($F$2='Bioenergy Calculator'!$X$9,AF51,IF($F$2='Bioenergy Calculator'!$X$10,AJ51,IF($F$2='Bioenergy Calculator'!$X$11,AN51,IF($F$2='Bioenergy Calculator'!$X$12,P51,IF($F$2='Bioenergy Calculator'!$X$13,AR51,IF($F$2='Bioenergy Calculator'!$X$14,AV51,IF($F$2='Bioenergy Calculator'!$X$15,AZ51,"NA")))))))</f>
        <v>NA</v>
      </c>
      <c r="G51" s="66" t="str">
        <f>IF($F$2='Bioenergy Calculator'!$X$9,AG51,IF($F$2='Bioenergy Calculator'!$X$10,AK51,IF($F$2='Bioenergy Calculator'!$X$11,AO51,IF($F$2='Bioenergy Calculator'!$X$12,Q51,IF($F$2='Bioenergy Calculator'!$X$13,AS51,IF($F$2='Bioenergy Calculator'!$X$14,AW51,IF($F$2='Bioenergy Calculator'!$X$15,BA51,"NA")))))))</f>
        <v>NA</v>
      </c>
      <c r="H51" s="66" t="str">
        <f>IF($F$2='Bioenergy Calculator'!$X$9,AH51,IF($F$2='Bioenergy Calculator'!$X$10,AL51,IF($F$2='Bioenergy Calculator'!$X$11,AP51,IF($F$2='Bioenergy Calculator'!$X$12,R51,IF($F$2='Bioenergy Calculator'!$X$13,AT51,IF($F$2='Bioenergy Calculator'!$X$14,AX51,IF($F$2='Bioenergy Calculator'!$X$15,BB51,"NA")))))))</f>
        <v>NA</v>
      </c>
      <c r="I51" s="334" t="str">
        <f>IF($F$2='Bioenergy Calculator'!$X$9,AI51,IF($F$2='Bioenergy Calculator'!$X$10,AM51,IF($F$2='Bioenergy Calculator'!$X$11,AQ51,IF($F$2='Bioenergy Calculator'!$X$12,S51,IF($F$2='Bioenergy Calculator'!$X$13,AU51,IF($F$2='Bioenergy Calculator'!$X$14,AY51,IF($F$2='Bioenergy Calculator'!$X$15,BC51,"NA")))))))</f>
        <v>NA</v>
      </c>
      <c r="J51" s="117"/>
      <c r="K51" s="333" t="str">
        <f>IF($K$2='Bioenergy Calculator'!$X$21,X51,IF($K$2='Bioenergy Calculator'!$X$22,BH51,IF($K$2='Bioenergy Calculator'!$X$23,BD51,IF($K$2='Bioenergy Calculator'!$X$19,T51,IF($K$2='Bioenergy Calculator'!$X$20,AB51,IF($K$2='Bioenergy Calculator'!$X$24,'Conversion Tables'!BL51,"NA"))))))</f>
        <v>NA</v>
      </c>
      <c r="L51" s="66" t="str">
        <f>IF($K$2='Bioenergy Calculator'!$X$21,Y51,IF($K$2='Bioenergy Calculator'!$X$22,BI51,IF($K$2='Bioenergy Calculator'!$X$23,BE51,IF($K$2='Bioenergy Calculator'!$X$19,U51,IF($K$2='Bioenergy Calculator'!$X$20,AC51,IF($K$2='Bioenergy Calculator'!$X$24,'Conversion Tables'!BM51,"NA"))))))</f>
        <v>NA</v>
      </c>
      <c r="M51" s="66" t="str">
        <f>IF($K$2='Bioenergy Calculator'!$X$21,Z51,IF($K$2='Bioenergy Calculator'!$X$22,BJ51,IF($K$2='Bioenergy Calculator'!$X$23,BF51,IF($K$2='Bioenergy Calculator'!$X$19,V51,IF($K$2='Bioenergy Calculator'!$X$20,AD51,IF($K$2='Bioenergy Calculator'!$X$24,'Conversion Tables'!BN51,"NA"))))))</f>
        <v>NA</v>
      </c>
      <c r="N51" s="334" t="str">
        <f>IF($K$2='Bioenergy Calculator'!$X$21,AA51,IF($K$2='Bioenergy Calculator'!$X$22,BK51,IF($K$2='Bioenergy Calculator'!$X$23,BG51,IF($K$2='Bioenergy Calculator'!$X$19,W51,IF($K$2='Bioenergy Calculator'!$X$20,AE51,IF($K$2='Bioenergy Calculator'!$X$24,'Conversion Tables'!BO51,"NA"))))))</f>
        <v>NA</v>
      </c>
      <c r="O51" s="84"/>
      <c r="P51" s="77">
        <f>('Energy Content Assumptions'!$B$69/'Technology Assumptions'!B$8)/1000</f>
        <v>12.998095238095237</v>
      </c>
      <c r="Q51" s="78">
        <f>('Energy Content Assumptions'!$B$69/'Technology Assumptions'!C$8)/1000</f>
        <v>12.998095238095237</v>
      </c>
      <c r="R51" s="78">
        <f>('Energy Content Assumptions'!$B$69/'Technology Assumptions'!D$8)/1000</f>
        <v>12.998095238095237</v>
      </c>
      <c r="S51" s="79">
        <f>('Energy Content Assumptions'!$B$69/'Technology Assumptions'!E$8)/1000</f>
        <v>12.998095238095237</v>
      </c>
      <c r="T51" s="51" t="s">
        <v>431</v>
      </c>
      <c r="U51" s="51" t="s">
        <v>431</v>
      </c>
      <c r="V51" s="51" t="s">
        <v>431</v>
      </c>
      <c r="W51" s="65" t="s">
        <v>431</v>
      </c>
      <c r="X51" s="91" t="s">
        <v>431</v>
      </c>
      <c r="Y51" s="91" t="s">
        <v>431</v>
      </c>
      <c r="Z51" s="91" t="s">
        <v>431</v>
      </c>
      <c r="AA51" s="147" t="s">
        <v>431</v>
      </c>
      <c r="AB51" s="51" t="s">
        <v>431</v>
      </c>
      <c r="AC51" s="51" t="s">
        <v>431</v>
      </c>
      <c r="AD51" s="51" t="s">
        <v>431</v>
      </c>
      <c r="AE51" s="65" t="s">
        <v>431</v>
      </c>
      <c r="AF51" s="669">
        <f>('Energy Content Assumptions'!$B$69/'Technology Assumptions'!B$4)/1000</f>
        <v>13.648</v>
      </c>
      <c r="AG51" s="135">
        <f>('Energy Content Assumptions'!$B$69/'Technology Assumptions'!C$4)/1000</f>
        <v>13.648</v>
      </c>
      <c r="AH51" s="135">
        <f>('Energy Content Assumptions'!$B$69/'Technology Assumptions'!D$4)/1000</f>
        <v>13.648</v>
      </c>
      <c r="AI51" s="136">
        <f>('Energy Content Assumptions'!$B$69/'Technology Assumptions'!E$4)/1000</f>
        <v>13.648</v>
      </c>
      <c r="AJ51" s="66">
        <f>('Energy Content Assumptions'!$B$69/'Technology Assumptions'!B$5)/1000</f>
        <v>14.216666666666669</v>
      </c>
      <c r="AK51" s="66">
        <f>('Energy Content Assumptions'!$B$69/'Technology Assumptions'!C$5)/1000</f>
        <v>14.216666666666669</v>
      </c>
      <c r="AL51" s="66">
        <f>('Energy Content Assumptions'!$B$69/'Technology Assumptions'!D$5)/1000</f>
        <v>14.216666666666669</v>
      </c>
      <c r="AM51" s="69">
        <f>('Energy Content Assumptions'!$B$69/'Technology Assumptions'!E$5)/1000</f>
        <v>14.216666666666669</v>
      </c>
      <c r="AN51" s="51" t="s">
        <v>431</v>
      </c>
      <c r="AO51" s="51" t="s">
        <v>431</v>
      </c>
      <c r="AP51" s="51" t="s">
        <v>431</v>
      </c>
      <c r="AQ51" s="65" t="s">
        <v>431</v>
      </c>
      <c r="AR51" s="135">
        <f>('Energy Content Assumptions'!$B$69/'Technology Assumptions'!B$6)/1000</f>
        <v>9.7485714285714291</v>
      </c>
      <c r="AS51" s="135">
        <f>('Energy Content Assumptions'!$B$69/'Technology Assumptions'!C$6)/1000</f>
        <v>9.7485714285714291</v>
      </c>
      <c r="AT51" s="135">
        <f>('Energy Content Assumptions'!$B$69/'Technology Assumptions'!D$6)/1000</f>
        <v>9.7485714285714291</v>
      </c>
      <c r="AU51" s="136">
        <f>('Energy Content Assumptions'!$B$69/'Technology Assumptions'!E$6)/1000</f>
        <v>9.7485714285714291</v>
      </c>
      <c r="AV51" s="78">
        <f>('Energy Content Assumptions'!$B$69/'Technology Assumptions'!B$12)/1000</f>
        <v>16.247619047619047</v>
      </c>
      <c r="AW51" s="78">
        <f>('Energy Content Assumptions'!$B$69/'Technology Assumptions'!C$12)/1000</f>
        <v>16.247619047619047</v>
      </c>
      <c r="AX51" s="78">
        <f>('Energy Content Assumptions'!$B$69/'Technology Assumptions'!D$12)/1000</f>
        <v>16.247619047619047</v>
      </c>
      <c r="AY51" s="79">
        <f>('Energy Content Assumptions'!$B$69/'Technology Assumptions'!E$12)/1000</f>
        <v>16.247619047619047</v>
      </c>
      <c r="AZ51" s="51" t="s">
        <v>431</v>
      </c>
      <c r="BA51" s="51" t="s">
        <v>431</v>
      </c>
      <c r="BB51" s="51" t="s">
        <v>431</v>
      </c>
      <c r="BC51" s="65" t="s">
        <v>431</v>
      </c>
      <c r="BD51" s="51" t="s">
        <v>431</v>
      </c>
      <c r="BE51" s="51" t="s">
        <v>431</v>
      </c>
      <c r="BF51" s="51" t="s">
        <v>431</v>
      </c>
      <c r="BG51" s="65" t="s">
        <v>431</v>
      </c>
      <c r="BH51" s="52" t="s">
        <v>431</v>
      </c>
      <c r="BI51" s="52" t="s">
        <v>431</v>
      </c>
      <c r="BJ51" s="52" t="s">
        <v>431</v>
      </c>
      <c r="BK51" s="62" t="s">
        <v>431</v>
      </c>
      <c r="BL51" s="78">
        <f>'Technology Assumptions'!B$30*$C51</f>
        <v>57.905742319446674</v>
      </c>
      <c r="BM51" s="78">
        <f>'Technology Assumptions'!C$30*$C51</f>
        <v>57.905742319446674</v>
      </c>
      <c r="BN51" s="78">
        <f>'Technology Assumptions'!D$30*$C51</f>
        <v>57.905742319446674</v>
      </c>
      <c r="BO51" s="239">
        <f>'Technology Assumptions'!E$30*$C51</f>
        <v>57.905742319446674</v>
      </c>
    </row>
    <row r="52" spans="1:67" x14ac:dyDescent="0.25">
      <c r="A52" s="1093"/>
      <c r="B52" s="12" t="s">
        <v>552</v>
      </c>
      <c r="C52" s="32">
        <f>'Energy Content Assumptions'!B57*2000/1000000</f>
        <v>14.763999999999999</v>
      </c>
      <c r="D52" s="32" t="s">
        <v>261</v>
      </c>
      <c r="E52" s="119"/>
      <c r="F52" s="333" t="str">
        <f>IF($F$2='Bioenergy Calculator'!$X$9,AF52,IF($F$2='Bioenergy Calculator'!$X$10,AJ52,IF($F$2='Bioenergy Calculator'!$X$11,AN52,IF($F$2='Bioenergy Calculator'!$X$12,P52,IF($F$2='Bioenergy Calculator'!$X$13,AR52,IF($F$2='Bioenergy Calculator'!$X$14,AV52,IF($F$2='Bioenergy Calculator'!$X$15,AZ52,"NA")))))))</f>
        <v>NA</v>
      </c>
      <c r="G52" s="66" t="str">
        <f>IF($F$2='Bioenergy Calculator'!$X$9,AG52,IF($F$2='Bioenergy Calculator'!$X$10,AK52,IF($F$2='Bioenergy Calculator'!$X$11,AO52,IF($F$2='Bioenergy Calculator'!$X$12,Q52,IF($F$2='Bioenergy Calculator'!$X$13,AS52,IF($F$2='Bioenergy Calculator'!$X$14,AW52,IF($F$2='Bioenergy Calculator'!$X$15,BA52,"NA")))))))</f>
        <v>NA</v>
      </c>
      <c r="H52" s="66" t="str">
        <f>IF($F$2='Bioenergy Calculator'!$X$9,AH52,IF($F$2='Bioenergy Calculator'!$X$10,AL52,IF($F$2='Bioenergy Calculator'!$X$11,AP52,IF($F$2='Bioenergy Calculator'!$X$12,R52,IF($F$2='Bioenergy Calculator'!$X$13,AT52,IF($F$2='Bioenergy Calculator'!$X$14,AX52,IF($F$2='Bioenergy Calculator'!$X$15,BB52,"NA")))))))</f>
        <v>NA</v>
      </c>
      <c r="I52" s="334" t="str">
        <f>IF($F$2='Bioenergy Calculator'!$X$9,AI52,IF($F$2='Bioenergy Calculator'!$X$10,AM52,IF($F$2='Bioenergy Calculator'!$X$11,AQ52,IF($F$2='Bioenergy Calculator'!$X$12,S52,IF($F$2='Bioenergy Calculator'!$X$13,AU52,IF($F$2='Bioenergy Calculator'!$X$14,AY52,IF($F$2='Bioenergy Calculator'!$X$15,BC52,"NA")))))))</f>
        <v>NA</v>
      </c>
      <c r="J52" s="117"/>
      <c r="K52" s="333" t="str">
        <f>IF($K$2='Bioenergy Calculator'!$X$21,X52,IF($K$2='Bioenergy Calculator'!$X$22,BH52,IF($K$2='Bioenergy Calculator'!$X$23,BD52,IF($K$2='Bioenergy Calculator'!$X$19,T52,IF($K$2='Bioenergy Calculator'!$X$20,AB52,IF($K$2='Bioenergy Calculator'!$X$24,'Conversion Tables'!BL52,"NA"))))))</f>
        <v>NA</v>
      </c>
      <c r="L52" s="66" t="str">
        <f>IF($K$2='Bioenergy Calculator'!$X$21,Y52,IF($K$2='Bioenergy Calculator'!$X$22,BI52,IF($K$2='Bioenergy Calculator'!$X$23,BE52,IF($K$2='Bioenergy Calculator'!$X$19,U52,IF($K$2='Bioenergy Calculator'!$X$20,AC52,IF($K$2='Bioenergy Calculator'!$X$24,'Conversion Tables'!BM52,"NA"))))))</f>
        <v>NA</v>
      </c>
      <c r="M52" s="66" t="str">
        <f>IF($K$2='Bioenergy Calculator'!$X$21,Z52,IF($K$2='Bioenergy Calculator'!$X$22,BJ52,IF($K$2='Bioenergy Calculator'!$X$23,BF52,IF($K$2='Bioenergy Calculator'!$X$19,V52,IF($K$2='Bioenergy Calculator'!$X$20,AD52,IF($K$2='Bioenergy Calculator'!$X$24,'Conversion Tables'!BN52,"NA"))))))</f>
        <v>NA</v>
      </c>
      <c r="N52" s="334" t="str">
        <f>IF($K$2='Bioenergy Calculator'!$X$21,AA52,IF($K$2='Bioenergy Calculator'!$X$22,BK52,IF($K$2='Bioenergy Calculator'!$X$23,BG52,IF($K$2='Bioenergy Calculator'!$X$19,W52,IF($K$2='Bioenergy Calculator'!$X$20,AE52,IF($K$2='Bioenergy Calculator'!$X$24,'Conversion Tables'!BO52,"NA"))))))</f>
        <v>NA</v>
      </c>
      <c r="O52" s="84"/>
      <c r="P52" s="77">
        <f>('Energy Content Assumptions'!$B$69/'Technology Assumptions'!B$8)/1000</f>
        <v>12.998095238095237</v>
      </c>
      <c r="Q52" s="78">
        <f>('Energy Content Assumptions'!$B$69/'Technology Assumptions'!C$8)/1000</f>
        <v>12.998095238095237</v>
      </c>
      <c r="R52" s="78">
        <f>('Energy Content Assumptions'!$B$69/'Technology Assumptions'!D$8)/1000</f>
        <v>12.998095238095237</v>
      </c>
      <c r="S52" s="79">
        <f>('Energy Content Assumptions'!$B$69/'Technology Assumptions'!E$8)/1000</f>
        <v>12.998095238095237</v>
      </c>
      <c r="T52" s="51" t="s">
        <v>431</v>
      </c>
      <c r="U52" s="51" t="s">
        <v>431</v>
      </c>
      <c r="V52" s="51" t="s">
        <v>431</v>
      </c>
      <c r="W52" s="65" t="s">
        <v>431</v>
      </c>
      <c r="X52" s="91" t="s">
        <v>431</v>
      </c>
      <c r="Y52" s="91" t="s">
        <v>431</v>
      </c>
      <c r="Z52" s="91" t="s">
        <v>431</v>
      </c>
      <c r="AA52" s="147" t="s">
        <v>431</v>
      </c>
      <c r="AB52" s="51" t="s">
        <v>431</v>
      </c>
      <c r="AC52" s="51" t="s">
        <v>431</v>
      </c>
      <c r="AD52" s="51" t="s">
        <v>431</v>
      </c>
      <c r="AE52" s="65" t="s">
        <v>431</v>
      </c>
      <c r="AF52" s="669">
        <f>('Energy Content Assumptions'!$B$69/'Technology Assumptions'!B$4)/1000</f>
        <v>13.648</v>
      </c>
      <c r="AG52" s="135">
        <f>('Energy Content Assumptions'!$B$69/'Technology Assumptions'!C$4)/1000</f>
        <v>13.648</v>
      </c>
      <c r="AH52" s="135">
        <f>('Energy Content Assumptions'!$B$69/'Technology Assumptions'!D$4)/1000</f>
        <v>13.648</v>
      </c>
      <c r="AI52" s="136">
        <f>('Energy Content Assumptions'!$B$69/'Technology Assumptions'!E$4)/1000</f>
        <v>13.648</v>
      </c>
      <c r="AJ52" s="66">
        <f>('Energy Content Assumptions'!$B$69/'Technology Assumptions'!B$5)/1000</f>
        <v>14.216666666666669</v>
      </c>
      <c r="AK52" s="66">
        <f>('Energy Content Assumptions'!$B$69/'Technology Assumptions'!C$5)/1000</f>
        <v>14.216666666666669</v>
      </c>
      <c r="AL52" s="66">
        <f>('Energy Content Assumptions'!$B$69/'Technology Assumptions'!D$5)/1000</f>
        <v>14.216666666666669</v>
      </c>
      <c r="AM52" s="69">
        <f>('Energy Content Assumptions'!$B$69/'Technology Assumptions'!E$5)/1000</f>
        <v>14.216666666666669</v>
      </c>
      <c r="AN52" s="51" t="s">
        <v>431</v>
      </c>
      <c r="AO52" s="51" t="s">
        <v>431</v>
      </c>
      <c r="AP52" s="51" t="s">
        <v>431</v>
      </c>
      <c r="AQ52" s="65" t="s">
        <v>431</v>
      </c>
      <c r="AR52" s="135">
        <f>('Energy Content Assumptions'!$B$69/'Technology Assumptions'!B$6)/1000</f>
        <v>9.7485714285714291</v>
      </c>
      <c r="AS52" s="135">
        <f>('Energy Content Assumptions'!$B$69/'Technology Assumptions'!C$6)/1000</f>
        <v>9.7485714285714291</v>
      </c>
      <c r="AT52" s="135">
        <f>('Energy Content Assumptions'!$B$69/'Technology Assumptions'!D$6)/1000</f>
        <v>9.7485714285714291</v>
      </c>
      <c r="AU52" s="136">
        <f>('Energy Content Assumptions'!$B$69/'Technology Assumptions'!E$6)/1000</f>
        <v>9.7485714285714291</v>
      </c>
      <c r="AV52" s="78">
        <f>('Energy Content Assumptions'!$B$69/'Technology Assumptions'!B$12)/1000</f>
        <v>16.247619047619047</v>
      </c>
      <c r="AW52" s="78">
        <f>('Energy Content Assumptions'!$B$69/'Technology Assumptions'!C$12)/1000</f>
        <v>16.247619047619047</v>
      </c>
      <c r="AX52" s="78">
        <f>('Energy Content Assumptions'!$B$69/'Technology Assumptions'!D$12)/1000</f>
        <v>16.247619047619047</v>
      </c>
      <c r="AY52" s="79">
        <f>('Energy Content Assumptions'!$B$69/'Technology Assumptions'!E$12)/1000</f>
        <v>16.247619047619047</v>
      </c>
      <c r="AZ52" s="51" t="s">
        <v>431</v>
      </c>
      <c r="BA52" s="51" t="s">
        <v>431</v>
      </c>
      <c r="BB52" s="51" t="s">
        <v>431</v>
      </c>
      <c r="BC52" s="65" t="s">
        <v>431</v>
      </c>
      <c r="BD52" s="51" t="s">
        <v>431</v>
      </c>
      <c r="BE52" s="51" t="s">
        <v>431</v>
      </c>
      <c r="BF52" s="51" t="s">
        <v>431</v>
      </c>
      <c r="BG52" s="65" t="s">
        <v>431</v>
      </c>
      <c r="BH52" s="52" t="s">
        <v>431</v>
      </c>
      <c r="BI52" s="52" t="s">
        <v>431</v>
      </c>
      <c r="BJ52" s="52" t="s">
        <v>431</v>
      </c>
      <c r="BK52" s="62" t="s">
        <v>431</v>
      </c>
      <c r="BL52" s="78">
        <f>'Technology Assumptions'!B$30*$C52</f>
        <v>71.243364967025897</v>
      </c>
      <c r="BM52" s="78">
        <f>'Technology Assumptions'!C$30*$C52</f>
        <v>71.243364967025897</v>
      </c>
      <c r="BN52" s="78">
        <f>'Technology Assumptions'!D$30*$C52</f>
        <v>71.243364967025897</v>
      </c>
      <c r="BO52" s="239">
        <f>'Technology Assumptions'!E$30*$C52</f>
        <v>71.243364967025897</v>
      </c>
    </row>
    <row r="53" spans="1:67" x14ac:dyDescent="0.25">
      <c r="A53" s="1093"/>
      <c r="B53" s="129" t="s">
        <v>305</v>
      </c>
      <c r="C53" s="32">
        <f>'Energy Content Assumptions'!B58*2000/1000000</f>
        <v>12</v>
      </c>
      <c r="D53" s="32" t="s">
        <v>261</v>
      </c>
      <c r="E53" s="118"/>
      <c r="F53" s="333" t="str">
        <f>IF($F$2='Bioenergy Calculator'!$X$9,AF53,IF($F$2='Bioenergy Calculator'!$X$10,AJ53,IF($F$2='Bioenergy Calculator'!$X$11,AN53,IF($F$2='Bioenergy Calculator'!$X$12,P53,IF($F$2='Bioenergy Calculator'!$X$13,AR53,IF($F$2='Bioenergy Calculator'!$X$14,AV53,IF($F$2='Bioenergy Calculator'!$X$15,AZ53,"NA")))))))</f>
        <v>NA</v>
      </c>
      <c r="G53" s="66" t="str">
        <f>IF($F$2='Bioenergy Calculator'!$X$9,AG53,IF($F$2='Bioenergy Calculator'!$X$10,AK53,IF($F$2='Bioenergy Calculator'!$X$11,AO53,IF($F$2='Bioenergy Calculator'!$X$12,Q53,IF($F$2='Bioenergy Calculator'!$X$13,AS53,IF($F$2='Bioenergy Calculator'!$X$14,AW53,IF($F$2='Bioenergy Calculator'!$X$15,BA53,"NA")))))))</f>
        <v>NA</v>
      </c>
      <c r="H53" s="66" t="str">
        <f>IF($F$2='Bioenergy Calculator'!$X$9,AH53,IF($F$2='Bioenergy Calculator'!$X$10,AL53,IF($F$2='Bioenergy Calculator'!$X$11,AP53,IF($F$2='Bioenergy Calculator'!$X$12,R53,IF($F$2='Bioenergy Calculator'!$X$13,AT53,IF($F$2='Bioenergy Calculator'!$X$14,AX53,IF($F$2='Bioenergy Calculator'!$X$15,BB53,"NA")))))))</f>
        <v>NA</v>
      </c>
      <c r="I53" s="334" t="str">
        <f>IF($F$2='Bioenergy Calculator'!$X$9,AI53,IF($F$2='Bioenergy Calculator'!$X$10,AM53,IF($F$2='Bioenergy Calculator'!$X$11,AQ53,IF($F$2='Bioenergy Calculator'!$X$12,S53,IF($F$2='Bioenergy Calculator'!$X$13,AU53,IF($F$2='Bioenergy Calculator'!$X$14,AY53,IF($F$2='Bioenergy Calculator'!$X$15,BC53,"NA")))))))</f>
        <v>NA</v>
      </c>
      <c r="J53" s="117"/>
      <c r="K53" s="333" t="str">
        <f>IF($K$2='Bioenergy Calculator'!$X$21,X53,IF($K$2='Bioenergy Calculator'!$X$22,BH53,IF($K$2='Bioenergy Calculator'!$X$23,BD53,IF($K$2='Bioenergy Calculator'!$X$19,T53,IF($K$2='Bioenergy Calculator'!$X$20,AB53,IF($K$2='Bioenergy Calculator'!$X$24,'Conversion Tables'!BL53,"NA"))))))</f>
        <v>NA</v>
      </c>
      <c r="L53" s="66" t="str">
        <f>IF($K$2='Bioenergy Calculator'!$X$21,Y53,IF($K$2='Bioenergy Calculator'!$X$22,BI53,IF($K$2='Bioenergy Calculator'!$X$23,BE53,IF($K$2='Bioenergy Calculator'!$X$19,U53,IF($K$2='Bioenergy Calculator'!$X$20,AC53,IF($K$2='Bioenergy Calculator'!$X$24,'Conversion Tables'!BM53,"NA"))))))</f>
        <v>NA</v>
      </c>
      <c r="M53" s="66" t="str">
        <f>IF($K$2='Bioenergy Calculator'!$X$21,Z53,IF($K$2='Bioenergy Calculator'!$X$22,BJ53,IF($K$2='Bioenergy Calculator'!$X$23,BF53,IF($K$2='Bioenergy Calculator'!$X$19,V53,IF($K$2='Bioenergy Calculator'!$X$20,AD53,IF($K$2='Bioenergy Calculator'!$X$24,'Conversion Tables'!BN53,"NA"))))))</f>
        <v>NA</v>
      </c>
      <c r="N53" s="334" t="str">
        <f>IF($K$2='Bioenergy Calculator'!$X$21,AA53,IF($K$2='Bioenergy Calculator'!$X$22,BK53,IF($K$2='Bioenergy Calculator'!$X$23,BG53,IF($K$2='Bioenergy Calculator'!$X$19,W53,IF($K$2='Bioenergy Calculator'!$X$20,AE53,IF($K$2='Bioenergy Calculator'!$X$24,'Conversion Tables'!BO53,"NA"))))))</f>
        <v>NA</v>
      </c>
      <c r="O53" s="84"/>
      <c r="P53" s="73" t="s">
        <v>431</v>
      </c>
      <c r="Q53" s="74" t="s">
        <v>431</v>
      </c>
      <c r="R53" s="74" t="s">
        <v>431</v>
      </c>
      <c r="S53" s="75" t="s">
        <v>431</v>
      </c>
      <c r="T53" s="51" t="s">
        <v>431</v>
      </c>
      <c r="U53" s="51" t="s">
        <v>431</v>
      </c>
      <c r="V53" s="51" t="s">
        <v>431</v>
      </c>
      <c r="W53" s="65" t="s">
        <v>431</v>
      </c>
      <c r="X53" s="91" t="s">
        <v>431</v>
      </c>
      <c r="Y53" s="91" t="s">
        <v>431</v>
      </c>
      <c r="Z53" s="91" t="s">
        <v>431</v>
      </c>
      <c r="AA53" s="147" t="s">
        <v>431</v>
      </c>
      <c r="AB53" s="51" t="s">
        <v>431</v>
      </c>
      <c r="AC53" s="51" t="s">
        <v>431</v>
      </c>
      <c r="AD53" s="51" t="s">
        <v>431</v>
      </c>
      <c r="AE53" s="65" t="s">
        <v>431</v>
      </c>
      <c r="AF53" s="668">
        <f>('Energy Content Assumptions'!$B$69/'Technology Assumptions'!B$4)/1000</f>
        <v>13.648</v>
      </c>
      <c r="AG53" s="66">
        <f>('Energy Content Assumptions'!$B$69/'Technology Assumptions'!C$4)/1000</f>
        <v>13.648</v>
      </c>
      <c r="AH53" s="66">
        <f>('Energy Content Assumptions'!$B$69/'Technology Assumptions'!D$4)/1000</f>
        <v>13.648</v>
      </c>
      <c r="AI53" s="69">
        <f>('Energy Content Assumptions'!$B$69/'Technology Assumptions'!E$4)/1000</f>
        <v>13.648</v>
      </c>
      <c r="AJ53" s="66">
        <f>('Energy Content Assumptions'!$B$69/'Technology Assumptions'!B$5)/1000</f>
        <v>14.216666666666669</v>
      </c>
      <c r="AK53" s="66">
        <f>('Energy Content Assumptions'!$B$69/'Technology Assumptions'!C$5)/1000</f>
        <v>14.216666666666669</v>
      </c>
      <c r="AL53" s="66">
        <f>('Energy Content Assumptions'!$B$69/'Technology Assumptions'!D$5)/1000</f>
        <v>14.216666666666669</v>
      </c>
      <c r="AM53" s="69">
        <f>('Energy Content Assumptions'!$B$69/'Technology Assumptions'!E$5)/1000</f>
        <v>14.216666666666669</v>
      </c>
      <c r="AN53" s="66">
        <f>('Energy Content Assumptions'!$B$69/'Technology Assumptions'!B$7)/1000</f>
        <v>8.7487179487179496</v>
      </c>
      <c r="AO53" s="66">
        <f>('Energy Content Assumptions'!$B$69/'Technology Assumptions'!C$7)/1000</f>
        <v>8.7487179487179496</v>
      </c>
      <c r="AP53" s="66">
        <f>('Energy Content Assumptions'!$B$69/'Technology Assumptions'!D$7)/1000</f>
        <v>8.7487179487179496</v>
      </c>
      <c r="AQ53" s="69">
        <f>('Energy Content Assumptions'!$B$69/'Technology Assumptions'!E$7)/1000</f>
        <v>8.7487179487179496</v>
      </c>
      <c r="AR53" s="135">
        <f>('Energy Content Assumptions'!$B$69/'Technology Assumptions'!B$6)/1000</f>
        <v>9.7485714285714291</v>
      </c>
      <c r="AS53" s="135">
        <f>('Energy Content Assumptions'!$B$69/'Technology Assumptions'!C$6)/1000</f>
        <v>9.7485714285714291</v>
      </c>
      <c r="AT53" s="135">
        <f>('Energy Content Assumptions'!$B$69/'Technology Assumptions'!D$6)/1000</f>
        <v>9.7485714285714291</v>
      </c>
      <c r="AU53" s="136">
        <f>('Energy Content Assumptions'!$B$69/'Technology Assumptions'!E$6)/1000</f>
        <v>9.7485714285714291</v>
      </c>
      <c r="AV53" s="78">
        <f>('Energy Content Assumptions'!$B$69/'Technology Assumptions'!B$12)/1000</f>
        <v>16.247619047619047</v>
      </c>
      <c r="AW53" s="78">
        <f>('Energy Content Assumptions'!$B$69/'Technology Assumptions'!C$12)/1000</f>
        <v>16.247619047619047</v>
      </c>
      <c r="AX53" s="78">
        <f>('Energy Content Assumptions'!$B$69/'Technology Assumptions'!D$12)/1000</f>
        <v>16.247619047619047</v>
      </c>
      <c r="AY53" s="79">
        <f>('Energy Content Assumptions'!$B$69/'Technology Assumptions'!E$12)/1000</f>
        <v>16.247619047619047</v>
      </c>
      <c r="AZ53" s="51" t="s">
        <v>431</v>
      </c>
      <c r="BA53" s="51" t="s">
        <v>431</v>
      </c>
      <c r="BB53" s="51" t="s">
        <v>431</v>
      </c>
      <c r="BC53" s="65" t="s">
        <v>431</v>
      </c>
      <c r="BD53" s="51" t="s">
        <v>431</v>
      </c>
      <c r="BE53" s="51" t="s">
        <v>431</v>
      </c>
      <c r="BF53" s="51" t="s">
        <v>431</v>
      </c>
      <c r="BG53" s="65" t="s">
        <v>431</v>
      </c>
      <c r="BH53" s="52" t="s">
        <v>431</v>
      </c>
      <c r="BI53" s="52" t="s">
        <v>431</v>
      </c>
      <c r="BJ53" s="52" t="s">
        <v>431</v>
      </c>
      <c r="BK53" s="62" t="s">
        <v>431</v>
      </c>
      <c r="BL53" s="74" t="s">
        <v>431</v>
      </c>
      <c r="BM53" s="74" t="s">
        <v>431</v>
      </c>
      <c r="BN53" s="74" t="s">
        <v>431</v>
      </c>
      <c r="BO53" s="238" t="s">
        <v>431</v>
      </c>
    </row>
    <row r="54" spans="1:67" x14ac:dyDescent="0.25">
      <c r="A54" s="1093"/>
      <c r="B54" s="129" t="s">
        <v>250</v>
      </c>
      <c r="C54" s="51"/>
      <c r="D54" s="51"/>
      <c r="E54" s="84"/>
      <c r="F54" s="172"/>
      <c r="G54" s="51"/>
      <c r="H54" s="51"/>
      <c r="I54" s="140"/>
      <c r="J54" s="84"/>
      <c r="K54" s="342" t="s">
        <v>255</v>
      </c>
      <c r="L54" s="234"/>
      <c r="M54" s="234"/>
      <c r="N54" s="343"/>
      <c r="O54" s="84"/>
      <c r="P54" s="68"/>
      <c r="Q54" s="51"/>
      <c r="R54" s="51"/>
      <c r="S54" s="65"/>
      <c r="T54" s="51"/>
      <c r="U54" s="51"/>
      <c r="V54" s="51"/>
      <c r="W54" s="65"/>
      <c r="X54" s="91"/>
      <c r="Y54" s="91"/>
      <c r="Z54" s="91"/>
      <c r="AA54" s="147"/>
      <c r="AB54" s="51"/>
      <c r="AC54" s="51"/>
      <c r="AD54" s="51"/>
      <c r="AE54" s="65"/>
      <c r="AF54" s="68"/>
      <c r="AG54" s="51"/>
      <c r="AH54" s="51"/>
      <c r="AI54" s="65"/>
      <c r="AJ54" s="51"/>
      <c r="AK54" s="51"/>
      <c r="AL54" s="51"/>
      <c r="AM54" s="65"/>
      <c r="AN54" s="51"/>
      <c r="AO54" s="51"/>
      <c r="AP54" s="51"/>
      <c r="AQ54" s="65"/>
      <c r="AR54" s="51"/>
      <c r="AS54" s="51"/>
      <c r="AT54" s="51"/>
      <c r="AU54" s="65"/>
      <c r="AV54" s="51"/>
      <c r="AW54" s="51"/>
      <c r="AX54" s="51"/>
      <c r="AY54" s="65"/>
      <c r="AZ54" s="51"/>
      <c r="BA54" s="51"/>
      <c r="BB54" s="51"/>
      <c r="BC54" s="65"/>
      <c r="BD54" s="51"/>
      <c r="BE54" s="51"/>
      <c r="BF54" s="51"/>
      <c r="BG54" s="65"/>
      <c r="BH54" s="52"/>
      <c r="BI54" s="52"/>
      <c r="BJ54" s="52"/>
      <c r="BK54" s="62"/>
      <c r="BL54" s="323" t="s">
        <v>254</v>
      </c>
      <c r="BM54" s="233"/>
      <c r="BN54" s="233"/>
      <c r="BO54" s="240"/>
    </row>
    <row r="55" spans="1:67" x14ac:dyDescent="0.25">
      <c r="A55" s="1093"/>
      <c r="B55" s="133" t="s">
        <v>304</v>
      </c>
      <c r="C55" s="31">
        <f>'Energy Content Assumptions'!B59</f>
        <v>619</v>
      </c>
      <c r="D55" s="32" t="s">
        <v>362</v>
      </c>
      <c r="E55" s="119"/>
      <c r="F55" s="333" t="str">
        <f>IF($F$2='Bioenergy Calculator'!$X$9,AF55,IF($F$2='Bioenergy Calculator'!$X$10,AJ55,IF($F$2='Bioenergy Calculator'!$X$11,AN55,IF($F$2='Bioenergy Calculator'!$X$12,P55,IF($F$2='Bioenergy Calculator'!$X$13,AR55,IF($F$2='Bioenergy Calculator'!$X$14,AV55,IF($F$2='Bioenergy Calculator'!$X$15,AZ55,"NA")))))))</f>
        <v>NA</v>
      </c>
      <c r="G55" s="66" t="str">
        <f>IF($F$2='Bioenergy Calculator'!$X$9,AG55,IF($F$2='Bioenergy Calculator'!$X$10,AK55,IF($F$2='Bioenergy Calculator'!$X$11,AO55,IF($F$2='Bioenergy Calculator'!$X$12,Q55,IF($F$2='Bioenergy Calculator'!$X$13,AS55,IF($F$2='Bioenergy Calculator'!$X$14,AW55,IF($F$2='Bioenergy Calculator'!$X$15,BA55,"NA")))))))</f>
        <v>NA</v>
      </c>
      <c r="H55" s="66" t="str">
        <f>IF($F$2='Bioenergy Calculator'!$X$9,AH55,IF($F$2='Bioenergy Calculator'!$X$10,AL55,IF($F$2='Bioenergy Calculator'!$X$11,AP55,IF($F$2='Bioenergy Calculator'!$X$12,R55,IF($F$2='Bioenergy Calculator'!$X$13,AT55,IF($F$2='Bioenergy Calculator'!$X$14,AX55,IF($F$2='Bioenergy Calculator'!$X$15,BB55,"NA")))))))</f>
        <v>NA</v>
      </c>
      <c r="I55" s="334" t="str">
        <f>IF($F$2='Bioenergy Calculator'!$X$9,AI55,IF($F$2='Bioenergy Calculator'!$X$10,AM55,IF($F$2='Bioenergy Calculator'!$X$11,AQ55,IF($F$2='Bioenergy Calculator'!$X$12,S55,IF($F$2='Bioenergy Calculator'!$X$13,AU55,IF($F$2='Bioenergy Calculator'!$X$14,AY55,IF($F$2='Bioenergy Calculator'!$X$15,BC55,"NA")))))))</f>
        <v>NA</v>
      </c>
      <c r="J55" s="117"/>
      <c r="K55" s="333" t="str">
        <f>IF($K$2='Bioenergy Calculator'!$X$21,X55,IF($K$2='Bioenergy Calculator'!$X$22,BH55,IF($K$2='Bioenergy Calculator'!$X$23,BD55,IF($K$2='Bioenergy Calculator'!$X$19,T55,IF($K$2='Bioenergy Calculator'!$X$20,AB55,IF($K$2='Bioenergy Calculator'!$X$24,'Conversion Tables'!BL55,"NA"))))))</f>
        <v>NA</v>
      </c>
      <c r="L55" s="66" t="str">
        <f>IF($K$2='Bioenergy Calculator'!$X$21,Y55,IF($K$2='Bioenergy Calculator'!$X$22,BI55,IF($K$2='Bioenergy Calculator'!$X$23,BE55,IF($K$2='Bioenergy Calculator'!$X$19,U55,IF($K$2='Bioenergy Calculator'!$X$20,AC55,IF($K$2='Bioenergy Calculator'!$X$24,'Conversion Tables'!BM55,"NA"))))))</f>
        <v>NA</v>
      </c>
      <c r="M55" s="66" t="str">
        <f>IF($K$2='Bioenergy Calculator'!$X$21,Z55,IF($K$2='Bioenergy Calculator'!$X$22,BJ55,IF($K$2='Bioenergy Calculator'!$X$23,BF55,IF($K$2='Bioenergy Calculator'!$X$19,V55,IF($K$2='Bioenergy Calculator'!$X$20,AD55,IF($K$2='Bioenergy Calculator'!$X$24,'Conversion Tables'!BN55,"NA"))))))</f>
        <v>NA</v>
      </c>
      <c r="N55" s="334" t="str">
        <f>IF($K$2='Bioenergy Calculator'!$X$21,AA55,IF($K$2='Bioenergy Calculator'!$X$22,BK55,IF($K$2='Bioenergy Calculator'!$X$23,BG55,IF($K$2='Bioenergy Calculator'!$X$19,W55,IF($K$2='Bioenergy Calculator'!$X$20,AE55,IF($K$2='Bioenergy Calculator'!$X$24,'Conversion Tables'!BO55,"NA"))))))</f>
        <v>NA</v>
      </c>
      <c r="O55" s="84"/>
      <c r="P55" s="77">
        <f>('Energy Content Assumptions'!$B$69/'Technology Assumptions'!B$9)/1000</f>
        <v>9.7485714285714291</v>
      </c>
      <c r="Q55" s="78">
        <f>('Energy Content Assumptions'!$B$69/'Technology Assumptions'!C$9)/1000</f>
        <v>9.7485714285714291</v>
      </c>
      <c r="R55" s="78">
        <f>('Energy Content Assumptions'!$B$69/'Technology Assumptions'!D$9)/1000</f>
        <v>9.7485714285714291</v>
      </c>
      <c r="S55" s="79">
        <f>('Energy Content Assumptions'!$B$69/'Technology Assumptions'!E$9)/1000</f>
        <v>9.7485714285714291</v>
      </c>
      <c r="T55" s="51" t="s">
        <v>431</v>
      </c>
      <c r="U55" s="51" t="s">
        <v>431</v>
      </c>
      <c r="V55" s="51" t="s">
        <v>431</v>
      </c>
      <c r="W55" s="65" t="s">
        <v>431</v>
      </c>
      <c r="X55" s="91" t="s">
        <v>431</v>
      </c>
      <c r="Y55" s="91" t="s">
        <v>431</v>
      </c>
      <c r="Z55" s="91" t="s">
        <v>431</v>
      </c>
      <c r="AA55" s="147" t="s">
        <v>431</v>
      </c>
      <c r="AB55" s="51" t="s">
        <v>431</v>
      </c>
      <c r="AC55" s="51" t="s">
        <v>431</v>
      </c>
      <c r="AD55" s="51" t="s">
        <v>431</v>
      </c>
      <c r="AE55" s="65" t="s">
        <v>431</v>
      </c>
      <c r="AF55" s="668" t="s">
        <v>431</v>
      </c>
      <c r="AG55" s="66" t="s">
        <v>431</v>
      </c>
      <c r="AH55" s="66" t="s">
        <v>431</v>
      </c>
      <c r="AI55" s="69" t="s">
        <v>431</v>
      </c>
      <c r="AJ55" s="66" t="s">
        <v>431</v>
      </c>
      <c r="AK55" s="66" t="s">
        <v>431</v>
      </c>
      <c r="AL55" s="66" t="s">
        <v>431</v>
      </c>
      <c r="AM55" s="69" t="s">
        <v>431</v>
      </c>
      <c r="AN55" s="51" t="s">
        <v>431</v>
      </c>
      <c r="AO55" s="51" t="s">
        <v>431</v>
      </c>
      <c r="AP55" s="51" t="s">
        <v>431</v>
      </c>
      <c r="AQ55" s="65" t="s">
        <v>431</v>
      </c>
      <c r="AR55" s="51" t="s">
        <v>431</v>
      </c>
      <c r="AS55" s="51" t="s">
        <v>431</v>
      </c>
      <c r="AT55" s="51" t="s">
        <v>431</v>
      </c>
      <c r="AU55" s="65" t="s">
        <v>431</v>
      </c>
      <c r="AV55" s="51" t="s">
        <v>431</v>
      </c>
      <c r="AW55" s="51" t="s">
        <v>431</v>
      </c>
      <c r="AX55" s="51" t="s">
        <v>431</v>
      </c>
      <c r="AY55" s="65" t="s">
        <v>431</v>
      </c>
      <c r="AZ55" s="51" t="s">
        <v>431</v>
      </c>
      <c r="BA55" s="51" t="s">
        <v>431</v>
      </c>
      <c r="BB55" s="51" t="s">
        <v>431</v>
      </c>
      <c r="BC55" s="65" t="s">
        <v>431</v>
      </c>
      <c r="BD55" s="51" t="s">
        <v>431</v>
      </c>
      <c r="BE55" s="51" t="s">
        <v>431</v>
      </c>
      <c r="BF55" s="51" t="s">
        <v>431</v>
      </c>
      <c r="BG55" s="65" t="s">
        <v>431</v>
      </c>
      <c r="BH55" s="52" t="s">
        <v>431</v>
      </c>
      <c r="BI55" s="52" t="s">
        <v>431</v>
      </c>
      <c r="BJ55" s="52" t="s">
        <v>431</v>
      </c>
      <c r="BK55" s="62" t="s">
        <v>431</v>
      </c>
      <c r="BL55" s="78">
        <f>'Technology Assumptions'!B$29*$C55</f>
        <v>4480.4568119671867</v>
      </c>
      <c r="BM55" s="78">
        <f>'Technology Assumptions'!C$29*$C55</f>
        <v>4480.4568119671867</v>
      </c>
      <c r="BN55" s="78">
        <f>'Technology Assumptions'!D$29*$C55</f>
        <v>4480.4568119671867</v>
      </c>
      <c r="BO55" s="239">
        <f>'Technology Assumptions'!E$29*$C55</f>
        <v>4480.4568119671867</v>
      </c>
    </row>
    <row r="56" spans="1:67" ht="13.8" thickBot="1" x14ac:dyDescent="0.3">
      <c r="A56" s="1094"/>
      <c r="B56" s="241" t="s">
        <v>512</v>
      </c>
      <c r="C56" s="242">
        <f>'Energy Content Assumptions'!B60</f>
        <v>506</v>
      </c>
      <c r="D56" s="243" t="s">
        <v>362</v>
      </c>
      <c r="E56" s="244"/>
      <c r="F56" s="336" t="str">
        <f>IF($F$2='Bioenergy Calculator'!$X$9,AF56,IF($F$2='Bioenergy Calculator'!$X$10,AJ56,IF($F$2='Bioenergy Calculator'!$X$11,AN56,IF($F$2='Bioenergy Calculator'!$X$12,P56,IF($F$2='Bioenergy Calculator'!$X$13,AR56,IF($F$2='Bioenergy Calculator'!$X$14,AV56,IF($F$2='Bioenergy Calculator'!$X$15,AZ56,"NA")))))))</f>
        <v>NA</v>
      </c>
      <c r="G56" s="245" t="str">
        <f>IF($F$2='Bioenergy Calculator'!$X$9,AG56,IF($F$2='Bioenergy Calculator'!$X$10,AK56,IF($F$2='Bioenergy Calculator'!$X$11,AO56,IF($F$2='Bioenergy Calculator'!$X$12,Q56,IF($F$2='Bioenergy Calculator'!$X$13,AS56,IF($F$2='Bioenergy Calculator'!$X$14,AW56,IF($F$2='Bioenergy Calculator'!$X$15,BA56,"NA")))))))</f>
        <v>NA</v>
      </c>
      <c r="H56" s="245" t="str">
        <f>IF($F$2='Bioenergy Calculator'!$X$9,AH56,IF($F$2='Bioenergy Calculator'!$X$10,AL56,IF($F$2='Bioenergy Calculator'!$X$11,AP56,IF($F$2='Bioenergy Calculator'!$X$12,R56,IF($F$2='Bioenergy Calculator'!$X$13,AT56,IF($F$2='Bioenergy Calculator'!$X$14,AX56,IF($F$2='Bioenergy Calculator'!$X$15,BB56,"NA")))))))</f>
        <v>NA</v>
      </c>
      <c r="I56" s="337" t="str">
        <f>IF($F$2='Bioenergy Calculator'!$X$9,AI56,IF($F$2='Bioenergy Calculator'!$X$10,AM56,IF($F$2='Bioenergy Calculator'!$X$11,AQ56,IF($F$2='Bioenergy Calculator'!$X$12,S56,IF($F$2='Bioenergy Calculator'!$X$13,AU56,IF($F$2='Bioenergy Calculator'!$X$14,AY56,IF($F$2='Bioenergy Calculator'!$X$15,BC56,"NA")))))))</f>
        <v>NA</v>
      </c>
      <c r="J56" s="339"/>
      <c r="K56" s="336" t="str">
        <f>IF($K$2='Bioenergy Calculator'!$X$21,X56,IF($K$2='Bioenergy Calculator'!$X$22,BH56,IF($K$2='Bioenergy Calculator'!$X$23,BD56,IF($K$2='Bioenergy Calculator'!$X$19,T56,IF($K$2='Bioenergy Calculator'!$X$20,AB56,IF($K$2='Bioenergy Calculator'!$X$24,'Conversion Tables'!BL56,"NA"))))))</f>
        <v>NA</v>
      </c>
      <c r="L56" s="245" t="str">
        <f>IF($K$2='Bioenergy Calculator'!$X$21,Y56,IF($K$2='Bioenergy Calculator'!$X$22,BI56,IF($K$2='Bioenergy Calculator'!$X$23,BE56,IF($K$2='Bioenergy Calculator'!$X$19,U56,IF($K$2='Bioenergy Calculator'!$X$20,AC56,IF($K$2='Bioenergy Calculator'!$X$24,'Conversion Tables'!BM56,"NA"))))))</f>
        <v>NA</v>
      </c>
      <c r="M56" s="245" t="str">
        <f>IF($K$2='Bioenergy Calculator'!$X$21,Z56,IF($K$2='Bioenergy Calculator'!$X$22,BJ56,IF($K$2='Bioenergy Calculator'!$X$23,BF56,IF($K$2='Bioenergy Calculator'!$X$19,V56,IF($K$2='Bioenergy Calculator'!$X$20,AD56,IF($K$2='Bioenergy Calculator'!$X$24,'Conversion Tables'!BN56,"NA"))))))</f>
        <v>NA</v>
      </c>
      <c r="N56" s="337" t="str">
        <f>IF($K$2='Bioenergy Calculator'!$X$21,AA56,IF($K$2='Bioenergy Calculator'!$X$22,BK56,IF($K$2='Bioenergy Calculator'!$X$23,BG56,IF($K$2='Bioenergy Calculator'!$X$19,W56,IF($K$2='Bioenergy Calculator'!$X$20,AE56,IF($K$2='Bioenergy Calculator'!$X$24,'Conversion Tables'!BO56,"NA"))))))</f>
        <v>NA</v>
      </c>
      <c r="O56" s="247"/>
      <c r="P56" s="248">
        <f>('Energy Content Assumptions'!$B$69/'Technology Assumptions'!B$9)/1000</f>
        <v>9.7485714285714291</v>
      </c>
      <c r="Q56" s="249">
        <f>('Energy Content Assumptions'!$B$69/'Technology Assumptions'!C$9)/1000</f>
        <v>9.7485714285714291</v>
      </c>
      <c r="R56" s="249">
        <f>('Energy Content Assumptions'!$B$69/'Technology Assumptions'!D$9)/1000</f>
        <v>9.7485714285714291</v>
      </c>
      <c r="S56" s="250">
        <f>('Energy Content Assumptions'!$B$69/'Technology Assumptions'!E$9)/1000</f>
        <v>9.7485714285714291</v>
      </c>
      <c r="T56" s="200" t="s">
        <v>431</v>
      </c>
      <c r="U56" s="200" t="s">
        <v>431</v>
      </c>
      <c r="V56" s="200" t="s">
        <v>431</v>
      </c>
      <c r="W56" s="251" t="s">
        <v>431</v>
      </c>
      <c r="X56" s="201" t="s">
        <v>431</v>
      </c>
      <c r="Y56" s="201" t="s">
        <v>431</v>
      </c>
      <c r="Z56" s="201" t="s">
        <v>431</v>
      </c>
      <c r="AA56" s="261" t="s">
        <v>431</v>
      </c>
      <c r="AB56" s="200" t="s">
        <v>431</v>
      </c>
      <c r="AC56" s="200" t="s">
        <v>431</v>
      </c>
      <c r="AD56" s="200" t="s">
        <v>431</v>
      </c>
      <c r="AE56" s="251" t="s">
        <v>431</v>
      </c>
      <c r="AF56" s="670" t="s">
        <v>431</v>
      </c>
      <c r="AG56" s="245" t="s">
        <v>431</v>
      </c>
      <c r="AH56" s="245" t="s">
        <v>431</v>
      </c>
      <c r="AI56" s="246" t="s">
        <v>431</v>
      </c>
      <c r="AJ56" s="245" t="s">
        <v>431</v>
      </c>
      <c r="AK56" s="245" t="s">
        <v>431</v>
      </c>
      <c r="AL56" s="245" t="s">
        <v>431</v>
      </c>
      <c r="AM56" s="246" t="s">
        <v>431</v>
      </c>
      <c r="AN56" s="200" t="s">
        <v>431</v>
      </c>
      <c r="AO56" s="200" t="s">
        <v>431</v>
      </c>
      <c r="AP56" s="200" t="s">
        <v>431</v>
      </c>
      <c r="AQ56" s="251" t="s">
        <v>431</v>
      </c>
      <c r="AR56" s="200" t="s">
        <v>431</v>
      </c>
      <c r="AS56" s="200" t="s">
        <v>431</v>
      </c>
      <c r="AT56" s="200" t="s">
        <v>431</v>
      </c>
      <c r="AU56" s="251" t="s">
        <v>431</v>
      </c>
      <c r="AV56" s="200" t="s">
        <v>431</v>
      </c>
      <c r="AW56" s="200" t="s">
        <v>431</v>
      </c>
      <c r="AX56" s="200" t="s">
        <v>431</v>
      </c>
      <c r="AY56" s="251" t="s">
        <v>431</v>
      </c>
      <c r="AZ56" s="200" t="s">
        <v>431</v>
      </c>
      <c r="BA56" s="200" t="s">
        <v>431</v>
      </c>
      <c r="BB56" s="200" t="s">
        <v>431</v>
      </c>
      <c r="BC56" s="251" t="s">
        <v>431</v>
      </c>
      <c r="BD56" s="200" t="s">
        <v>431</v>
      </c>
      <c r="BE56" s="200" t="s">
        <v>431</v>
      </c>
      <c r="BF56" s="200" t="s">
        <v>431</v>
      </c>
      <c r="BG56" s="251" t="s">
        <v>431</v>
      </c>
      <c r="BH56" s="661" t="s">
        <v>431</v>
      </c>
      <c r="BI56" s="661" t="s">
        <v>431</v>
      </c>
      <c r="BJ56" s="661" t="s">
        <v>431</v>
      </c>
      <c r="BK56" s="678" t="s">
        <v>431</v>
      </c>
      <c r="BL56" s="249">
        <f>'Technology Assumptions'!B$29*$C56</f>
        <v>3662.5382017050024</v>
      </c>
      <c r="BM56" s="249">
        <f>'Technology Assumptions'!C$29*$C56</f>
        <v>3662.5382017050024</v>
      </c>
      <c r="BN56" s="249">
        <f>'Technology Assumptions'!D$29*$C56</f>
        <v>3662.5382017050024</v>
      </c>
      <c r="BO56" s="262">
        <f>'Technology Assumptions'!E$29*$C56</f>
        <v>3662.5382017050024</v>
      </c>
    </row>
    <row r="57" spans="1:67" x14ac:dyDescent="0.25">
      <c r="C57" s="32"/>
      <c r="D57" s="32"/>
      <c r="E57" s="32"/>
      <c r="K57" s="128"/>
    </row>
  </sheetData>
  <mergeCells count="24">
    <mergeCell ref="AF4:AI4"/>
    <mergeCell ref="AJ4:AM4"/>
    <mergeCell ref="AN4:AQ4"/>
    <mergeCell ref="AR4:AU4"/>
    <mergeCell ref="BL4:BO4"/>
    <mergeCell ref="AV4:AY4"/>
    <mergeCell ref="AZ4:BC4"/>
    <mergeCell ref="BD4:BG4"/>
    <mergeCell ref="BH4:BK4"/>
    <mergeCell ref="C2:D2"/>
    <mergeCell ref="X4:AA4"/>
    <mergeCell ref="AB4:AE4"/>
    <mergeCell ref="A44:A56"/>
    <mergeCell ref="A4:A5"/>
    <mergeCell ref="B4:B5"/>
    <mergeCell ref="C4:D4"/>
    <mergeCell ref="A6:A11"/>
    <mergeCell ref="A12:A27"/>
    <mergeCell ref="A28:A39"/>
    <mergeCell ref="A40:A43"/>
    <mergeCell ref="F4:I4"/>
    <mergeCell ref="K4:N4"/>
    <mergeCell ref="P4:S4"/>
    <mergeCell ref="T4:W4"/>
  </mergeCells>
  <phoneticPr fontId="0" type="noConversion"/>
  <dataValidations count="2">
    <dataValidation type="list" showDropDown="1" showInputMessage="1" showErrorMessage="1" sqref="K2">
      <formula1>#REF!</formula1>
    </dataValidation>
    <dataValidation type="list" showDropDown="1" showInputMessage="1" showErrorMessage="1" sqref="F2">
      <formula1>#REF!</formula1>
    </dataValidation>
  </dataValidations>
  <pageMargins left="0.75" right="0.75" top="1" bottom="1" header="0.5" footer="0.5"/>
  <pageSetup paperSize="5" scale="50" fitToWidth="2" orientation="landscape" r:id="rId1"/>
  <headerFooter alignWithMargins="0">
    <oddFooter>&amp;L&amp;"Arial,Italic" 7/02/07&amp;C&amp;"Arial,Italic"&amp;A&amp;R&amp;"Arial,Italic"NJAES Report 2007-1 ©2007
New Jersey Agricultural Experiment Station</oddFooter>
  </headerFooter>
  <colBreaks count="2" manualBreakCount="2">
    <brk id="15" max="1048575" man="1"/>
    <brk id="43" max="5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7"/>
  <sheetViews>
    <sheetView workbookViewId="0">
      <pane ySplit="1" topLeftCell="A17" activePane="bottomLeft" state="frozen"/>
      <selection pane="bottomLeft" activeCell="J20" sqref="J20"/>
    </sheetView>
  </sheetViews>
  <sheetFormatPr defaultRowHeight="13.2" x14ac:dyDescent="0.25"/>
  <cols>
    <col min="1" max="1" width="10.88671875" bestFit="1" customWidth="1"/>
    <col min="2" max="2" width="31" customWidth="1"/>
    <col min="3" max="3" width="15.109375" customWidth="1"/>
    <col min="4" max="4" width="13.33203125" customWidth="1"/>
    <col min="5" max="5" width="17.5546875" customWidth="1"/>
    <col min="8" max="8" width="10.88671875" bestFit="1" customWidth="1"/>
    <col min="9" max="9" width="12.109375" customWidth="1"/>
    <col min="10" max="10" width="12" customWidth="1"/>
    <col min="11" max="11" width="18.5546875" customWidth="1"/>
  </cols>
  <sheetData>
    <row r="1" spans="1:11" ht="41.25" customHeight="1" thickBot="1" x14ac:dyDescent="0.3">
      <c r="A1" s="487" t="s">
        <v>322</v>
      </c>
      <c r="B1" s="487" t="s">
        <v>620</v>
      </c>
      <c r="C1" s="488" t="s">
        <v>776</v>
      </c>
      <c r="D1" s="488" t="s">
        <v>621</v>
      </c>
      <c r="E1" s="486" t="s">
        <v>644</v>
      </c>
    </row>
    <row r="2" spans="1:11" ht="39.6" x14ac:dyDescent="0.25">
      <c r="A2" t="s">
        <v>403</v>
      </c>
      <c r="B2" s="384" t="s">
        <v>622</v>
      </c>
      <c r="C2" s="483">
        <v>27.791699999999999</v>
      </c>
      <c r="D2" s="483">
        <v>40</v>
      </c>
      <c r="E2">
        <f>IF(C2&lt;2,0,C2)</f>
        <v>27.791699999999999</v>
      </c>
      <c r="H2" s="494" t="s">
        <v>322</v>
      </c>
      <c r="I2" s="495" t="s">
        <v>776</v>
      </c>
      <c r="J2" s="495" t="s">
        <v>621</v>
      </c>
      <c r="K2" s="496" t="s">
        <v>644</v>
      </c>
    </row>
    <row r="3" spans="1:11" x14ac:dyDescent="0.25">
      <c r="A3" t="s">
        <v>403</v>
      </c>
      <c r="B3" s="384" t="s">
        <v>623</v>
      </c>
      <c r="C3" s="483">
        <v>0.32290000000000002</v>
      </c>
      <c r="D3" s="483">
        <v>0.4</v>
      </c>
      <c r="E3">
        <f t="shared" ref="E3:E7" si="0">IF(C3&lt;2,0,C3)</f>
        <v>0</v>
      </c>
      <c r="H3" s="497" t="s">
        <v>403</v>
      </c>
      <c r="I3" s="493">
        <f>C$8</f>
        <v>28.6798</v>
      </c>
      <c r="J3" s="493">
        <f t="shared" ref="J3:K3" si="1">D$8</f>
        <v>42.111800000000002</v>
      </c>
      <c r="K3" s="498">
        <f t="shared" si="1"/>
        <v>27.791699999999999</v>
      </c>
    </row>
    <row r="4" spans="1:11" x14ac:dyDescent="0.25">
      <c r="A4" t="s">
        <v>403</v>
      </c>
      <c r="B4" s="384" t="s">
        <v>624</v>
      </c>
      <c r="C4" s="483">
        <v>3.0000000000000001E-3</v>
      </c>
      <c r="D4" s="483">
        <v>3.0000000000000001E-3</v>
      </c>
      <c r="E4">
        <f t="shared" si="0"/>
        <v>0</v>
      </c>
      <c r="H4" s="497" t="s">
        <v>325</v>
      </c>
      <c r="I4" s="493">
        <f>C$26</f>
        <v>91.11039999999997</v>
      </c>
      <c r="J4" s="493">
        <f t="shared" ref="J4:K4" si="2">D$26</f>
        <v>122.1143</v>
      </c>
      <c r="K4" s="498">
        <f t="shared" si="2"/>
        <v>90.942399999999992</v>
      </c>
    </row>
    <row r="5" spans="1:11" x14ac:dyDescent="0.25">
      <c r="A5" t="s">
        <v>403</v>
      </c>
      <c r="B5" s="384" t="s">
        <v>625</v>
      </c>
      <c r="C5" s="483">
        <v>0.53339999999999999</v>
      </c>
      <c r="D5" s="483">
        <v>1.6</v>
      </c>
      <c r="E5">
        <f t="shared" si="0"/>
        <v>0</v>
      </c>
      <c r="H5" s="497" t="s">
        <v>328</v>
      </c>
      <c r="I5" s="493">
        <f>C$71</f>
        <v>37.995900000000013</v>
      </c>
      <c r="J5" s="493">
        <f t="shared" ref="J5:K5" si="3">D$71</f>
        <v>63.292700000000004</v>
      </c>
      <c r="K5" s="498">
        <f t="shared" si="3"/>
        <v>20.2745</v>
      </c>
    </row>
    <row r="6" spans="1:11" x14ac:dyDescent="0.25">
      <c r="A6" t="s">
        <v>403</v>
      </c>
      <c r="B6" s="384" t="s">
        <v>626</v>
      </c>
      <c r="C6" s="483">
        <v>2.0999999999999999E-3</v>
      </c>
      <c r="D6" s="483">
        <v>1.2500000000000001E-2</v>
      </c>
      <c r="E6">
        <f t="shared" si="0"/>
        <v>0</v>
      </c>
      <c r="H6" s="497" t="s">
        <v>331</v>
      </c>
      <c r="I6" s="493">
        <f>C$78</f>
        <v>56.238400000000006</v>
      </c>
      <c r="J6" s="493">
        <f t="shared" ref="J6:K6" si="4">D$78</f>
        <v>82.555400000000006</v>
      </c>
      <c r="K6" s="498">
        <f t="shared" si="4"/>
        <v>54.125</v>
      </c>
    </row>
    <row r="7" spans="1:11" x14ac:dyDescent="0.25">
      <c r="A7" t="s">
        <v>403</v>
      </c>
      <c r="B7" s="384" t="s">
        <v>627</v>
      </c>
      <c r="C7" s="483">
        <v>2.6700000000000002E-2</v>
      </c>
      <c r="D7" s="483">
        <v>9.6299999999999997E-2</v>
      </c>
      <c r="E7">
        <f t="shared" si="0"/>
        <v>0</v>
      </c>
      <c r="H7" s="497" t="s">
        <v>333</v>
      </c>
      <c r="I7" s="493">
        <f>C$93</f>
        <v>18.4754</v>
      </c>
      <c r="J7" s="493">
        <f t="shared" ref="J7:K7" si="5">D$93</f>
        <v>37.470299999999995</v>
      </c>
      <c r="K7" s="498">
        <f t="shared" si="5"/>
        <v>15.204999999999998</v>
      </c>
    </row>
    <row r="8" spans="1:11" x14ac:dyDescent="0.25">
      <c r="A8" s="484" t="s">
        <v>409</v>
      </c>
      <c r="C8" s="485">
        <f>SUM(C2:C7)</f>
        <v>28.6798</v>
      </c>
      <c r="D8" s="485">
        <f>SUM(D2:D7)</f>
        <v>42.111800000000002</v>
      </c>
      <c r="E8" s="80">
        <f>SUM(E2:E7)</f>
        <v>27.791699999999999</v>
      </c>
      <c r="H8" s="497" t="s">
        <v>335</v>
      </c>
      <c r="I8" s="493">
        <f>C$100</f>
        <v>12.175600000000001</v>
      </c>
      <c r="J8" s="493">
        <f t="shared" ref="J8:K8" si="6">D$100</f>
        <v>20.818100000000001</v>
      </c>
      <c r="K8" s="498">
        <f t="shared" si="6"/>
        <v>11.457599999999999</v>
      </c>
    </row>
    <row r="9" spans="1:11" x14ac:dyDescent="0.25">
      <c r="H9" s="497" t="s">
        <v>336</v>
      </c>
      <c r="I9" s="493">
        <f>C$107</f>
        <v>250.41390000000001</v>
      </c>
      <c r="J9" s="493">
        <f t="shared" ref="J9:K9" si="7">D$107</f>
        <v>344.1</v>
      </c>
      <c r="K9" s="498">
        <f t="shared" si="7"/>
        <v>248.9288</v>
      </c>
    </row>
    <row r="10" spans="1:11" x14ac:dyDescent="0.25">
      <c r="A10" s="384" t="s">
        <v>325</v>
      </c>
      <c r="B10" s="489" t="s">
        <v>628</v>
      </c>
      <c r="C10" s="483">
        <v>3.9174000000000002</v>
      </c>
      <c r="D10" s="483">
        <v>6</v>
      </c>
      <c r="E10">
        <f>IF(C10&lt;2,0,C10)</f>
        <v>3.9174000000000002</v>
      </c>
      <c r="H10" s="497" t="s">
        <v>337</v>
      </c>
      <c r="I10" s="493">
        <f>C$116</f>
        <v>18.134899999999998</v>
      </c>
      <c r="J10" s="493">
        <f t="shared" ref="J10:K10" si="8">D$116</f>
        <v>31.172600000000003</v>
      </c>
      <c r="K10" s="498">
        <f t="shared" si="8"/>
        <v>15.99</v>
      </c>
    </row>
    <row r="11" spans="1:11" x14ac:dyDescent="0.25">
      <c r="A11" t="str">
        <f>A10</f>
        <v>Bergen</v>
      </c>
      <c r="B11" s="489" t="s">
        <v>629</v>
      </c>
      <c r="C11" s="483">
        <v>1.0800000000000001E-2</v>
      </c>
      <c r="D11" s="483">
        <v>2.1999999999999999E-2</v>
      </c>
      <c r="E11">
        <f t="shared" ref="E11:E25" si="9">IF(C11&lt;2,0,C11)</f>
        <v>0</v>
      </c>
      <c r="H11" s="497" t="s">
        <v>338</v>
      </c>
      <c r="I11" s="493">
        <f>C$124</f>
        <v>36.6524</v>
      </c>
      <c r="J11" s="493">
        <f t="shared" ref="J11:K11" si="10">D$124</f>
        <v>49.58</v>
      </c>
      <c r="K11" s="498">
        <f t="shared" si="10"/>
        <v>36.505400000000002</v>
      </c>
    </row>
    <row r="12" spans="1:11" x14ac:dyDescent="0.25">
      <c r="A12" t="str">
        <f t="shared" ref="A12:A25" si="11">A11</f>
        <v>Bergen</v>
      </c>
      <c r="B12" s="489" t="s">
        <v>630</v>
      </c>
      <c r="C12" s="483">
        <v>3.3E-3</v>
      </c>
      <c r="D12" s="483">
        <v>6.4999999999999997E-3</v>
      </c>
      <c r="E12">
        <f t="shared" si="9"/>
        <v>0</v>
      </c>
      <c r="H12" s="497" t="s">
        <v>339</v>
      </c>
      <c r="I12" s="493">
        <f>C$162</f>
        <v>6.8648000000000007</v>
      </c>
      <c r="J12" s="493">
        <f t="shared" ref="J12:K12" si="12">D$162</f>
        <v>13.416999999999998</v>
      </c>
      <c r="K12" s="498">
        <f t="shared" si="12"/>
        <v>3.0325000000000002</v>
      </c>
    </row>
    <row r="13" spans="1:11" x14ac:dyDescent="0.25">
      <c r="A13" t="str">
        <f t="shared" si="11"/>
        <v>Bergen</v>
      </c>
      <c r="B13" s="489" t="s">
        <v>631</v>
      </c>
      <c r="C13" s="483">
        <v>3.3999999999999998E-3</v>
      </c>
      <c r="D13" s="483">
        <v>1.8200000000000001E-2</v>
      </c>
      <c r="E13">
        <f t="shared" si="9"/>
        <v>0</v>
      </c>
      <c r="H13" s="497" t="s">
        <v>340</v>
      </c>
      <c r="I13" s="493">
        <f>C$178</f>
        <v>43.717699999999994</v>
      </c>
      <c r="J13" s="493">
        <f t="shared" ref="J13:K13" si="13">D$178</f>
        <v>71.639200000000002</v>
      </c>
      <c r="K13" s="498">
        <f t="shared" si="13"/>
        <v>42.206699999999998</v>
      </c>
    </row>
    <row r="14" spans="1:11" x14ac:dyDescent="0.25">
      <c r="A14" t="str">
        <f t="shared" si="11"/>
        <v>Bergen</v>
      </c>
      <c r="B14" s="489" t="s">
        <v>632</v>
      </c>
      <c r="C14" s="483">
        <v>5.0000000000000001E-3</v>
      </c>
      <c r="D14" s="483">
        <v>1.84E-2</v>
      </c>
      <c r="E14">
        <f t="shared" si="9"/>
        <v>0</v>
      </c>
      <c r="H14" s="497" t="s">
        <v>341</v>
      </c>
      <c r="I14" s="493">
        <f>C$184</f>
        <v>124.20559999999999</v>
      </c>
      <c r="J14" s="493">
        <f t="shared" ref="J14:K14" si="14">D$184</f>
        <v>148.80099999999999</v>
      </c>
      <c r="K14" s="498">
        <f t="shared" si="14"/>
        <v>122.7991</v>
      </c>
    </row>
    <row r="15" spans="1:11" x14ac:dyDescent="0.25">
      <c r="A15" t="str">
        <f t="shared" si="11"/>
        <v>Bergen</v>
      </c>
      <c r="B15" s="489" t="s">
        <v>633</v>
      </c>
      <c r="C15" s="483">
        <v>74.436999999999998</v>
      </c>
      <c r="D15" s="483">
        <v>94</v>
      </c>
      <c r="E15" s="483">
        <f t="shared" si="9"/>
        <v>74.436999999999998</v>
      </c>
      <c r="H15" s="497" t="s">
        <v>342</v>
      </c>
      <c r="I15" s="493">
        <f>C$217</f>
        <v>50.040499999999994</v>
      </c>
      <c r="J15" s="493">
        <f t="shared" ref="J15:K15" si="15">D$217</f>
        <v>86.673899999999989</v>
      </c>
      <c r="K15" s="498">
        <f t="shared" si="15"/>
        <v>49.477800000000002</v>
      </c>
    </row>
    <row r="16" spans="1:11" x14ac:dyDescent="0.25">
      <c r="A16" t="str">
        <f t="shared" si="11"/>
        <v>Bergen</v>
      </c>
      <c r="B16" s="489" t="s">
        <v>634</v>
      </c>
      <c r="C16" s="483">
        <v>5.7999999999999996E-3</v>
      </c>
      <c r="D16" s="483">
        <v>3.3599999999999998E-2</v>
      </c>
      <c r="E16">
        <f t="shared" si="9"/>
        <v>0</v>
      </c>
      <c r="H16" s="497" t="s">
        <v>343</v>
      </c>
      <c r="I16" s="493">
        <f>C$271</f>
        <v>51.081999999999987</v>
      </c>
      <c r="J16" s="493">
        <f t="shared" ref="J16:K16" si="16">D$271</f>
        <v>72.808800000000048</v>
      </c>
      <c r="K16" s="498">
        <f t="shared" si="16"/>
        <v>41.436799999999998</v>
      </c>
    </row>
    <row r="17" spans="1:11" x14ac:dyDescent="0.25">
      <c r="A17" t="str">
        <f t="shared" si="11"/>
        <v>Bergen</v>
      </c>
      <c r="B17" s="489" t="s">
        <v>635</v>
      </c>
      <c r="C17" s="483">
        <v>6.7500000000000004E-2</v>
      </c>
      <c r="D17" s="483">
        <v>0.1137</v>
      </c>
      <c r="E17">
        <f t="shared" si="9"/>
        <v>0</v>
      </c>
      <c r="H17" s="497" t="s">
        <v>344</v>
      </c>
      <c r="I17" s="493">
        <f>C$281</f>
        <v>50.500700000000002</v>
      </c>
      <c r="J17" s="493">
        <f t="shared" ref="J17:K17" si="17">D$281</f>
        <v>84.133099999999999</v>
      </c>
      <c r="K17" s="498">
        <f t="shared" si="17"/>
        <v>50.423300000000005</v>
      </c>
    </row>
    <row r="18" spans="1:11" x14ac:dyDescent="0.25">
      <c r="A18" t="str">
        <f t="shared" si="11"/>
        <v>Bergen</v>
      </c>
      <c r="B18" s="489" t="s">
        <v>636</v>
      </c>
      <c r="C18" s="483">
        <v>1.5699999999999999E-2</v>
      </c>
      <c r="D18" s="483">
        <v>2.3E-2</v>
      </c>
      <c r="E18">
        <f t="shared" si="9"/>
        <v>0</v>
      </c>
      <c r="H18" s="497" t="s">
        <v>345</v>
      </c>
      <c r="I18" s="493">
        <f>C$301</f>
        <v>10.2677</v>
      </c>
      <c r="J18" s="493">
        <f t="shared" ref="J18:K18" si="18">D$301</f>
        <v>16.810199999999998</v>
      </c>
      <c r="K18" s="498">
        <f t="shared" si="18"/>
        <v>7.9916999999999998</v>
      </c>
    </row>
    <row r="19" spans="1:11" x14ac:dyDescent="0.25">
      <c r="A19" t="str">
        <f t="shared" si="11"/>
        <v>Bergen</v>
      </c>
      <c r="B19" s="489" t="s">
        <v>637</v>
      </c>
      <c r="C19" s="483">
        <v>2.3699999999999999E-2</v>
      </c>
      <c r="D19" s="483">
        <v>3.5000000000000003E-2</v>
      </c>
      <c r="E19">
        <f t="shared" si="9"/>
        <v>0</v>
      </c>
      <c r="H19" s="497" t="s">
        <v>346</v>
      </c>
      <c r="I19" s="493">
        <f>C$316</f>
        <v>3.6509</v>
      </c>
      <c r="J19" s="493">
        <f t="shared" ref="J19:K19" si="19">D$316</f>
        <v>6.1213000000000006</v>
      </c>
      <c r="K19" s="498">
        <f t="shared" si="19"/>
        <v>0</v>
      </c>
    </row>
    <row r="20" spans="1:11" x14ac:dyDescent="0.25">
      <c r="A20" t="str">
        <f t="shared" si="11"/>
        <v>Bergen</v>
      </c>
      <c r="B20" s="489" t="s">
        <v>638</v>
      </c>
      <c r="C20" s="483">
        <v>6.7999999999999996E-3</v>
      </c>
      <c r="D20" s="483">
        <v>0.01</v>
      </c>
      <c r="E20">
        <f t="shared" si="9"/>
        <v>0</v>
      </c>
      <c r="H20" s="691" t="s">
        <v>347</v>
      </c>
      <c r="I20" s="493">
        <f>C$346</f>
        <v>25.488699999999998</v>
      </c>
      <c r="J20" s="493">
        <f>D$346</f>
        <v>31.444099999999995</v>
      </c>
      <c r="K20" s="498">
        <f>E$346</f>
        <v>19.635000000000002</v>
      </c>
    </row>
    <row r="21" spans="1:11" x14ac:dyDescent="0.25">
      <c r="A21" t="str">
        <f t="shared" si="11"/>
        <v>Bergen</v>
      </c>
      <c r="B21" s="489" t="s">
        <v>639</v>
      </c>
      <c r="C21" s="483">
        <v>8.0000000000000004E-4</v>
      </c>
      <c r="D21" s="483">
        <v>2E-3</v>
      </c>
      <c r="E21">
        <f t="shared" si="9"/>
        <v>0</v>
      </c>
      <c r="H21" s="497" t="s">
        <v>348</v>
      </c>
      <c r="I21" s="493">
        <f>C$375</f>
        <v>3.1802000000000001</v>
      </c>
      <c r="J21" s="493">
        <f t="shared" ref="J21:K21" si="20">D$375</f>
        <v>5.0152999999999999</v>
      </c>
      <c r="K21" s="498">
        <f t="shared" si="20"/>
        <v>0</v>
      </c>
    </row>
    <row r="22" spans="1:11" x14ac:dyDescent="0.25">
      <c r="A22" t="str">
        <f t="shared" si="11"/>
        <v>Bergen</v>
      </c>
      <c r="B22" s="489" t="s">
        <v>640</v>
      </c>
      <c r="C22" s="483">
        <v>1.2999999999999999E-3</v>
      </c>
      <c r="D22" s="483">
        <v>1.9E-3</v>
      </c>
      <c r="E22">
        <f t="shared" si="9"/>
        <v>0</v>
      </c>
      <c r="H22" s="497" t="s">
        <v>349</v>
      </c>
      <c r="I22" s="493">
        <f>C$382</f>
        <v>105.09629999999999</v>
      </c>
      <c r="J22" s="493">
        <f t="shared" ref="J22:K22" si="21">D$382</f>
        <v>146.6</v>
      </c>
      <c r="K22" s="498">
        <f t="shared" si="21"/>
        <v>103.05600000000001</v>
      </c>
    </row>
    <row r="23" spans="1:11" ht="13.8" thickBot="1" x14ac:dyDescent="0.3">
      <c r="A23" t="str">
        <f t="shared" si="11"/>
        <v>Bergen</v>
      </c>
      <c r="B23" s="489" t="s">
        <v>641</v>
      </c>
      <c r="C23" s="483">
        <v>2.3900000000000001E-2</v>
      </c>
      <c r="D23" s="483">
        <v>0.03</v>
      </c>
      <c r="E23">
        <f t="shared" si="9"/>
        <v>0</v>
      </c>
      <c r="H23" s="499" t="s">
        <v>350</v>
      </c>
      <c r="I23" s="500">
        <f>C$403</f>
        <v>3.9751000000000003</v>
      </c>
      <c r="J23" s="500">
        <f t="shared" ref="J23:K23" si="22">D$403</f>
        <v>6.9799999999999995</v>
      </c>
      <c r="K23" s="501">
        <f t="shared" si="22"/>
        <v>2.2200000000000002</v>
      </c>
    </row>
    <row r="24" spans="1:11" x14ac:dyDescent="0.25">
      <c r="A24" t="str">
        <f t="shared" si="11"/>
        <v>Bergen</v>
      </c>
      <c r="B24" s="489" t="s">
        <v>642</v>
      </c>
      <c r="C24" s="483">
        <v>2.4887999999999999</v>
      </c>
      <c r="D24" s="483">
        <v>5</v>
      </c>
      <c r="E24">
        <f t="shared" si="9"/>
        <v>2.4887999999999999</v>
      </c>
    </row>
    <row r="25" spans="1:11" x14ac:dyDescent="0.25">
      <c r="A25" t="str">
        <f t="shared" si="11"/>
        <v>Bergen</v>
      </c>
      <c r="B25" s="489" t="s">
        <v>643</v>
      </c>
      <c r="C25" s="483">
        <v>10.0992</v>
      </c>
      <c r="D25" s="490">
        <v>16.8</v>
      </c>
      <c r="E25">
        <f t="shared" si="9"/>
        <v>10.0992</v>
      </c>
    </row>
    <row r="26" spans="1:11" x14ac:dyDescent="0.25">
      <c r="A26" s="484" t="s">
        <v>409</v>
      </c>
      <c r="C26" s="485">
        <f>SUM(C10:C25)</f>
        <v>91.11039999999997</v>
      </c>
      <c r="D26" s="485">
        <f>SUM(D10:D25)</f>
        <v>122.1143</v>
      </c>
      <c r="E26" s="484">
        <f>SUM(E10:E25)</f>
        <v>90.942399999999992</v>
      </c>
    </row>
    <row r="28" spans="1:11" x14ac:dyDescent="0.25">
      <c r="A28" s="384" t="s">
        <v>328</v>
      </c>
      <c r="B28" s="489" t="s">
        <v>645</v>
      </c>
      <c r="C28" s="483">
        <v>7.1000000000000004E-3</v>
      </c>
      <c r="D28" s="490">
        <v>2.5000000000000001E-2</v>
      </c>
      <c r="E28">
        <f>IF(C28&lt;2,0,C28)</f>
        <v>0</v>
      </c>
    </row>
    <row r="29" spans="1:11" x14ac:dyDescent="0.25">
      <c r="A29" s="384" t="s">
        <v>328</v>
      </c>
      <c r="B29" s="489" t="s">
        <v>646</v>
      </c>
      <c r="C29" s="483">
        <v>0.40279999999999999</v>
      </c>
      <c r="D29" s="490">
        <v>1</v>
      </c>
      <c r="E29">
        <f t="shared" ref="E29:E70" si="23">IF(C29&lt;2,0,C29)</f>
        <v>0</v>
      </c>
    </row>
    <row r="30" spans="1:11" x14ac:dyDescent="0.25">
      <c r="A30" s="384" t="s">
        <v>328</v>
      </c>
      <c r="B30" s="489" t="s">
        <v>777</v>
      </c>
      <c r="C30" s="483">
        <v>1.7643</v>
      </c>
      <c r="D30" s="490">
        <v>3</v>
      </c>
      <c r="E30">
        <f t="shared" si="23"/>
        <v>0</v>
      </c>
    </row>
    <row r="31" spans="1:11" x14ac:dyDescent="0.25">
      <c r="A31" s="384" t="s">
        <v>328</v>
      </c>
      <c r="B31" s="489" t="s">
        <v>647</v>
      </c>
      <c r="C31" s="483">
        <v>0.53649999999999998</v>
      </c>
      <c r="D31" s="490">
        <v>0.76900000000000002</v>
      </c>
      <c r="E31">
        <f t="shared" si="23"/>
        <v>0</v>
      </c>
    </row>
    <row r="32" spans="1:11" x14ac:dyDescent="0.25">
      <c r="A32" s="384" t="s">
        <v>328</v>
      </c>
      <c r="B32" s="489" t="s">
        <v>648</v>
      </c>
      <c r="C32" s="483">
        <v>1.8122</v>
      </c>
      <c r="D32" s="490">
        <v>2.7</v>
      </c>
      <c r="E32">
        <f t="shared" si="23"/>
        <v>0</v>
      </c>
    </row>
    <row r="33" spans="1:5" x14ac:dyDescent="0.25">
      <c r="A33" s="384" t="s">
        <v>328</v>
      </c>
      <c r="B33" s="489" t="s">
        <v>649</v>
      </c>
      <c r="C33" s="483">
        <v>2.121</v>
      </c>
      <c r="D33" s="490">
        <v>3.65</v>
      </c>
      <c r="E33">
        <f t="shared" si="23"/>
        <v>2.121</v>
      </c>
    </row>
    <row r="34" spans="1:5" x14ac:dyDescent="0.25">
      <c r="A34" s="384" t="s">
        <v>328</v>
      </c>
      <c r="B34" s="489" t="s">
        <v>650</v>
      </c>
      <c r="C34" s="483">
        <v>3.0000000000000001E-3</v>
      </c>
      <c r="D34" s="490">
        <v>0.01</v>
      </c>
      <c r="E34">
        <f t="shared" si="23"/>
        <v>0</v>
      </c>
    </row>
    <row r="35" spans="1:5" x14ac:dyDescent="0.25">
      <c r="A35" s="384" t="s">
        <v>328</v>
      </c>
      <c r="B35" s="489" t="s">
        <v>679</v>
      </c>
      <c r="C35" s="483">
        <v>1.0187999999999999</v>
      </c>
      <c r="D35" s="490">
        <v>2</v>
      </c>
      <c r="E35">
        <f t="shared" si="23"/>
        <v>0</v>
      </c>
    </row>
    <row r="36" spans="1:5" x14ac:dyDescent="0.25">
      <c r="A36" s="384" t="s">
        <v>328</v>
      </c>
      <c r="B36" s="489" t="s">
        <v>651</v>
      </c>
      <c r="C36" s="483">
        <v>1.8458000000000001</v>
      </c>
      <c r="D36" s="490">
        <v>2.5</v>
      </c>
      <c r="E36">
        <f t="shared" si="23"/>
        <v>0</v>
      </c>
    </row>
    <row r="37" spans="1:5" x14ac:dyDescent="0.25">
      <c r="A37" s="384" t="s">
        <v>328</v>
      </c>
      <c r="B37" s="489" t="s">
        <v>652</v>
      </c>
      <c r="C37" s="483">
        <v>1.9517</v>
      </c>
      <c r="D37" s="490">
        <v>2.9780000000000002</v>
      </c>
      <c r="E37">
        <f t="shared" si="23"/>
        <v>0</v>
      </c>
    </row>
    <row r="38" spans="1:5" x14ac:dyDescent="0.25">
      <c r="A38" s="384" t="s">
        <v>328</v>
      </c>
      <c r="B38" s="489" t="s">
        <v>653</v>
      </c>
      <c r="C38" s="483">
        <v>1.0969</v>
      </c>
      <c r="D38" s="490">
        <v>1.7</v>
      </c>
      <c r="E38">
        <f t="shared" si="23"/>
        <v>0</v>
      </c>
    </row>
    <row r="39" spans="1:5" x14ac:dyDescent="0.25">
      <c r="A39" s="384" t="s">
        <v>328</v>
      </c>
      <c r="B39" s="489" t="s">
        <v>654</v>
      </c>
      <c r="C39" s="483">
        <v>0.38240000000000002</v>
      </c>
      <c r="D39" s="490">
        <v>0.6</v>
      </c>
      <c r="E39">
        <f t="shared" si="23"/>
        <v>0</v>
      </c>
    </row>
    <row r="40" spans="1:5" x14ac:dyDescent="0.25">
      <c r="A40" s="384" t="s">
        <v>328</v>
      </c>
      <c r="B40" s="489" t="s">
        <v>655</v>
      </c>
      <c r="C40" s="483">
        <v>5.2299999999999999E-2</v>
      </c>
      <c r="D40" s="490">
        <v>0.1</v>
      </c>
      <c r="E40">
        <f>IF(C40&lt;2,0,C40)</f>
        <v>0</v>
      </c>
    </row>
    <row r="41" spans="1:5" x14ac:dyDescent="0.25">
      <c r="A41" s="384" t="s">
        <v>328</v>
      </c>
      <c r="B41" s="489" t="s">
        <v>656</v>
      </c>
      <c r="C41" s="483">
        <v>1.3041</v>
      </c>
      <c r="D41" s="490">
        <v>2.5</v>
      </c>
      <c r="E41">
        <f t="shared" si="23"/>
        <v>0</v>
      </c>
    </row>
    <row r="42" spans="1:5" x14ac:dyDescent="0.25">
      <c r="A42" s="384" t="s">
        <v>328</v>
      </c>
      <c r="B42" s="489" t="s">
        <v>657</v>
      </c>
      <c r="C42" s="483">
        <v>0.18890000000000001</v>
      </c>
      <c r="D42" s="490">
        <v>0.32400000000000001</v>
      </c>
      <c r="E42">
        <f t="shared" si="23"/>
        <v>0</v>
      </c>
    </row>
    <row r="43" spans="1:5" x14ac:dyDescent="0.25">
      <c r="A43" s="384" t="s">
        <v>328</v>
      </c>
      <c r="B43" s="489" t="s">
        <v>658</v>
      </c>
      <c r="C43" s="483">
        <v>0.19500000000000001</v>
      </c>
      <c r="D43" s="490">
        <v>0.25</v>
      </c>
      <c r="E43">
        <f t="shared" si="23"/>
        <v>0</v>
      </c>
    </row>
    <row r="44" spans="1:5" x14ac:dyDescent="0.25">
      <c r="A44" s="384" t="s">
        <v>328</v>
      </c>
      <c r="B44" s="489" t="s">
        <v>778</v>
      </c>
      <c r="C44" s="483">
        <v>5.3E-3</v>
      </c>
      <c r="D44" s="490">
        <v>8.0999999999999996E-3</v>
      </c>
      <c r="E44">
        <f t="shared" si="23"/>
        <v>0</v>
      </c>
    </row>
    <row r="45" spans="1:5" x14ac:dyDescent="0.25">
      <c r="A45" s="384" t="s">
        <v>328</v>
      </c>
      <c r="B45" s="489" t="s">
        <v>659</v>
      </c>
      <c r="C45" s="483">
        <v>2.3675000000000002</v>
      </c>
      <c r="D45" s="490">
        <v>3.4</v>
      </c>
      <c r="E45">
        <f t="shared" si="23"/>
        <v>2.3675000000000002</v>
      </c>
    </row>
    <row r="46" spans="1:5" x14ac:dyDescent="0.25">
      <c r="A46" s="384" t="s">
        <v>328</v>
      </c>
      <c r="B46" s="489" t="s">
        <v>660</v>
      </c>
      <c r="C46" s="483">
        <v>0.34839999999999999</v>
      </c>
      <c r="D46" s="490">
        <v>0.55000000000000004</v>
      </c>
      <c r="E46">
        <f t="shared" si="23"/>
        <v>0</v>
      </c>
    </row>
    <row r="47" spans="1:5" x14ac:dyDescent="0.25">
      <c r="A47" s="384" t="s">
        <v>328</v>
      </c>
      <c r="B47" s="489" t="s">
        <v>661</v>
      </c>
      <c r="C47" s="483">
        <v>1.3</v>
      </c>
      <c r="D47" s="490">
        <v>1.75</v>
      </c>
      <c r="E47">
        <f t="shared" si="23"/>
        <v>0</v>
      </c>
    </row>
    <row r="48" spans="1:5" x14ac:dyDescent="0.25">
      <c r="A48" s="384" t="s">
        <v>328</v>
      </c>
      <c r="B48" s="489" t="s">
        <v>680</v>
      </c>
      <c r="C48" s="483">
        <v>2.2483</v>
      </c>
      <c r="D48" s="490">
        <v>3.88</v>
      </c>
      <c r="E48">
        <f t="shared" si="23"/>
        <v>2.2483</v>
      </c>
    </row>
    <row r="49" spans="1:5" x14ac:dyDescent="0.25">
      <c r="A49" s="384" t="s">
        <v>328</v>
      </c>
      <c r="B49" s="489" t="s">
        <v>662</v>
      </c>
      <c r="C49" s="483">
        <v>3.2951999999999999</v>
      </c>
      <c r="D49" s="490">
        <v>7.6749999999999998</v>
      </c>
      <c r="E49">
        <f t="shared" si="23"/>
        <v>3.2951999999999999</v>
      </c>
    </row>
    <row r="50" spans="1:5" x14ac:dyDescent="0.25">
      <c r="A50" s="384" t="s">
        <v>328</v>
      </c>
      <c r="B50" s="489" t="s">
        <v>681</v>
      </c>
      <c r="C50" s="483">
        <v>4.2812000000000001</v>
      </c>
      <c r="D50" s="490">
        <v>6</v>
      </c>
      <c r="E50">
        <f t="shared" si="23"/>
        <v>4.2812000000000001</v>
      </c>
    </row>
    <row r="51" spans="1:5" x14ac:dyDescent="0.25">
      <c r="A51" s="384" t="s">
        <v>328</v>
      </c>
      <c r="B51" s="489" t="s">
        <v>682</v>
      </c>
      <c r="C51" s="483">
        <v>6.1999999999999998E-3</v>
      </c>
      <c r="D51" s="490">
        <v>8.8999999999999999E-3</v>
      </c>
      <c r="E51">
        <f t="shared" si="23"/>
        <v>0</v>
      </c>
    </row>
    <row r="52" spans="1:5" x14ac:dyDescent="0.25">
      <c r="A52" s="384" t="s">
        <v>328</v>
      </c>
      <c r="B52" s="489" t="s">
        <v>683</v>
      </c>
      <c r="C52" s="483">
        <v>9.9000000000000008E-3</v>
      </c>
      <c r="D52" s="490">
        <v>0.02</v>
      </c>
      <c r="E52">
        <f t="shared" si="23"/>
        <v>0</v>
      </c>
    </row>
    <row r="53" spans="1:5" x14ac:dyDescent="0.25">
      <c r="A53" s="384" t="s">
        <v>328</v>
      </c>
      <c r="B53" s="489" t="s">
        <v>684</v>
      </c>
      <c r="C53" s="483">
        <v>8.0000000000000002E-3</v>
      </c>
      <c r="D53" s="490">
        <v>3.2000000000000001E-2</v>
      </c>
      <c r="E53">
        <f t="shared" si="23"/>
        <v>0</v>
      </c>
    </row>
    <row r="54" spans="1:5" x14ac:dyDescent="0.25">
      <c r="A54" s="384" t="s">
        <v>328</v>
      </c>
      <c r="B54" s="489" t="s">
        <v>663</v>
      </c>
      <c r="C54" s="483">
        <v>3.2199999999999999E-2</v>
      </c>
      <c r="D54" s="490">
        <v>3.7999999999999999E-2</v>
      </c>
      <c r="E54">
        <f t="shared" si="23"/>
        <v>0</v>
      </c>
    </row>
    <row r="55" spans="1:5" x14ac:dyDescent="0.25">
      <c r="A55" s="384" t="s">
        <v>328</v>
      </c>
      <c r="B55" s="489" t="s">
        <v>664</v>
      </c>
      <c r="C55" s="483">
        <v>8.3000000000000001E-3</v>
      </c>
      <c r="D55" s="490">
        <v>1.5900000000000001E-2</v>
      </c>
      <c r="E55">
        <f t="shared" si="23"/>
        <v>0</v>
      </c>
    </row>
    <row r="56" spans="1:5" x14ac:dyDescent="0.25">
      <c r="A56" s="384" t="s">
        <v>328</v>
      </c>
      <c r="B56" s="489" t="s">
        <v>665</v>
      </c>
      <c r="C56" s="483">
        <v>0.43280000000000002</v>
      </c>
      <c r="D56" s="490">
        <v>1.05</v>
      </c>
      <c r="E56">
        <f t="shared" si="23"/>
        <v>0</v>
      </c>
    </row>
    <row r="57" spans="1:5" x14ac:dyDescent="0.25">
      <c r="A57" s="384" t="s">
        <v>328</v>
      </c>
      <c r="B57" s="489" t="s">
        <v>666</v>
      </c>
      <c r="C57" s="483">
        <v>5.7999999999999996E-3</v>
      </c>
      <c r="D57" s="490">
        <v>0.05</v>
      </c>
      <c r="E57">
        <f t="shared" si="23"/>
        <v>0</v>
      </c>
    </row>
    <row r="58" spans="1:5" x14ac:dyDescent="0.25">
      <c r="A58" s="384" t="s">
        <v>328</v>
      </c>
      <c r="B58" s="489" t="s">
        <v>667</v>
      </c>
      <c r="C58" s="483">
        <v>1.6534</v>
      </c>
      <c r="D58" s="490">
        <v>2.5</v>
      </c>
      <c r="E58">
        <f t="shared" si="23"/>
        <v>0</v>
      </c>
    </row>
    <row r="59" spans="1:5" x14ac:dyDescent="0.25">
      <c r="A59" s="384" t="s">
        <v>328</v>
      </c>
      <c r="B59" s="489" t="s">
        <v>668</v>
      </c>
      <c r="C59" s="483">
        <v>2.3359999999999999</v>
      </c>
      <c r="D59" s="490">
        <v>4.5999999999999996</v>
      </c>
      <c r="E59">
        <f t="shared" si="23"/>
        <v>2.3359999999999999</v>
      </c>
    </row>
    <row r="60" spans="1:5" x14ac:dyDescent="0.25">
      <c r="A60" s="384" t="s">
        <v>328</v>
      </c>
      <c r="B60" s="489" t="s">
        <v>669</v>
      </c>
      <c r="C60" s="483">
        <v>0.7</v>
      </c>
      <c r="D60" s="490">
        <v>1</v>
      </c>
      <c r="E60">
        <f t="shared" si="23"/>
        <v>0</v>
      </c>
    </row>
    <row r="61" spans="1:5" x14ac:dyDescent="0.25">
      <c r="A61" s="384" t="s">
        <v>328</v>
      </c>
      <c r="B61" s="489" t="s">
        <v>670</v>
      </c>
      <c r="C61" s="483">
        <v>0.14599999999999999</v>
      </c>
      <c r="D61" s="490">
        <v>0.22</v>
      </c>
      <c r="E61">
        <f t="shared" si="23"/>
        <v>0</v>
      </c>
    </row>
    <row r="62" spans="1:5" x14ac:dyDescent="0.25">
      <c r="A62" s="384" t="s">
        <v>328</v>
      </c>
      <c r="B62" s="489" t="s">
        <v>671</v>
      </c>
      <c r="C62" s="483">
        <v>3.9899999999999998E-2</v>
      </c>
      <c r="D62" s="490">
        <v>0.06</v>
      </c>
      <c r="E62">
        <f t="shared" si="23"/>
        <v>0</v>
      </c>
    </row>
    <row r="63" spans="1:5" x14ac:dyDescent="0.25">
      <c r="A63" s="384" t="s">
        <v>328</v>
      </c>
      <c r="B63" s="489" t="s">
        <v>672</v>
      </c>
      <c r="C63" s="483">
        <v>0.2828</v>
      </c>
      <c r="D63" s="490">
        <v>0.5</v>
      </c>
      <c r="E63">
        <f t="shared" si="23"/>
        <v>0</v>
      </c>
    </row>
    <row r="64" spans="1:5" x14ac:dyDescent="0.25">
      <c r="A64" s="384" t="s">
        <v>328</v>
      </c>
      <c r="B64" s="489" t="s">
        <v>673</v>
      </c>
      <c r="C64" s="483">
        <v>1E-3</v>
      </c>
      <c r="D64" s="490">
        <v>7.4999999999999997E-3</v>
      </c>
      <c r="E64">
        <f t="shared" si="23"/>
        <v>0</v>
      </c>
    </row>
    <row r="65" spans="1:5" x14ac:dyDescent="0.25">
      <c r="A65" s="384" t="s">
        <v>328</v>
      </c>
      <c r="B65" s="489" t="s">
        <v>674</v>
      </c>
      <c r="C65" s="483">
        <v>1.2999999999999999E-3</v>
      </c>
      <c r="D65" s="490">
        <v>2.8000000000000001E-2</v>
      </c>
      <c r="E65">
        <f t="shared" si="23"/>
        <v>0</v>
      </c>
    </row>
    <row r="66" spans="1:5" x14ac:dyDescent="0.25">
      <c r="A66" s="384" t="s">
        <v>328</v>
      </c>
      <c r="B66" s="489" t="s">
        <v>779</v>
      </c>
      <c r="C66" s="483">
        <v>5.5999999999999999E-3</v>
      </c>
      <c r="D66" s="490">
        <v>0.03</v>
      </c>
      <c r="E66">
        <f t="shared" si="23"/>
        <v>0</v>
      </c>
    </row>
    <row r="67" spans="1:5" x14ac:dyDescent="0.25">
      <c r="A67" s="384" t="s">
        <v>328</v>
      </c>
      <c r="B67" s="489" t="s">
        <v>675</v>
      </c>
      <c r="C67" s="483">
        <v>1.6999999999999999E-3</v>
      </c>
      <c r="D67" s="490">
        <v>6.3E-3</v>
      </c>
      <c r="E67">
        <f t="shared" si="23"/>
        <v>0</v>
      </c>
    </row>
    <row r="68" spans="1:5" x14ac:dyDescent="0.25">
      <c r="A68" s="384" t="s">
        <v>328</v>
      </c>
      <c r="B68" s="489" t="s">
        <v>676</v>
      </c>
      <c r="C68" s="483">
        <v>3.6253000000000002</v>
      </c>
      <c r="D68" s="490">
        <v>5.22</v>
      </c>
      <c r="E68">
        <f t="shared" si="23"/>
        <v>3.6253000000000002</v>
      </c>
    </row>
    <row r="69" spans="1:5" x14ac:dyDescent="0.25">
      <c r="A69" s="384" t="s">
        <v>328</v>
      </c>
      <c r="B69" s="489" t="s">
        <v>677</v>
      </c>
      <c r="C69" s="483">
        <v>7.8700000000000006E-2</v>
      </c>
      <c r="D69" s="490">
        <v>0.2</v>
      </c>
      <c r="E69">
        <f t="shared" si="23"/>
        <v>0</v>
      </c>
    </row>
    <row r="70" spans="1:5" x14ac:dyDescent="0.25">
      <c r="A70" s="384" t="s">
        <v>328</v>
      </c>
      <c r="B70" s="489" t="s">
        <v>678</v>
      </c>
      <c r="C70" s="483">
        <v>9.2299999999999993E-2</v>
      </c>
      <c r="D70" s="490">
        <v>0.33700000000000002</v>
      </c>
      <c r="E70">
        <f t="shared" si="23"/>
        <v>0</v>
      </c>
    </row>
    <row r="71" spans="1:5" x14ac:dyDescent="0.25">
      <c r="A71" s="484" t="s">
        <v>409</v>
      </c>
      <c r="C71" s="485">
        <f>SUM(C28:C70)</f>
        <v>37.995900000000013</v>
      </c>
      <c r="D71" s="485">
        <f t="shared" ref="D71:E71" si="24">SUM(D28:D70)</f>
        <v>63.292700000000004</v>
      </c>
      <c r="E71" s="485">
        <f t="shared" si="24"/>
        <v>20.2745</v>
      </c>
    </row>
    <row r="73" spans="1:5" x14ac:dyDescent="0.25">
      <c r="A73" s="384" t="s">
        <v>331</v>
      </c>
      <c r="B73" s="489" t="s">
        <v>685</v>
      </c>
      <c r="C73" s="483">
        <v>54.125</v>
      </c>
      <c r="D73" s="490">
        <v>80</v>
      </c>
      <c r="E73">
        <f>IF(C73&lt;2,0,C73)</f>
        <v>54.125</v>
      </c>
    </row>
    <row r="74" spans="1:5" x14ac:dyDescent="0.25">
      <c r="A74" s="384" t="s">
        <v>331</v>
      </c>
      <c r="B74" s="489" t="s">
        <v>983</v>
      </c>
      <c r="C74" s="483">
        <v>0.252</v>
      </c>
      <c r="D74" s="490">
        <v>0.23899999999999999</v>
      </c>
      <c r="E74">
        <f t="shared" ref="E74:E77" si="25">IF(C74&lt;2,0,C74)</f>
        <v>0</v>
      </c>
    </row>
    <row r="75" spans="1:5" x14ac:dyDescent="0.25">
      <c r="A75" s="384" t="s">
        <v>331</v>
      </c>
      <c r="B75" s="489" t="s">
        <v>686</v>
      </c>
      <c r="C75" s="483">
        <v>1.77E-2</v>
      </c>
      <c r="D75" s="490">
        <v>5.8000000000000003E-2</v>
      </c>
      <c r="E75">
        <f t="shared" si="25"/>
        <v>0</v>
      </c>
    </row>
    <row r="76" spans="1:5" x14ac:dyDescent="0.25">
      <c r="A76" s="384" t="s">
        <v>331</v>
      </c>
      <c r="B76" s="489" t="s">
        <v>687</v>
      </c>
      <c r="C76" s="483">
        <v>1.8416999999999999</v>
      </c>
      <c r="D76" s="490">
        <v>2.25</v>
      </c>
      <c r="E76">
        <f t="shared" si="25"/>
        <v>0</v>
      </c>
    </row>
    <row r="77" spans="1:5" x14ac:dyDescent="0.25">
      <c r="A77" s="384" t="s">
        <v>331</v>
      </c>
      <c r="B77" s="489" t="s">
        <v>688</v>
      </c>
      <c r="C77" s="483">
        <v>2E-3</v>
      </c>
      <c r="D77" s="490">
        <v>8.3999999999999995E-3</v>
      </c>
      <c r="E77">
        <f t="shared" si="25"/>
        <v>0</v>
      </c>
    </row>
    <row r="78" spans="1:5" x14ac:dyDescent="0.25">
      <c r="A78" s="484" t="s">
        <v>409</v>
      </c>
      <c r="C78" s="491">
        <f>SUM(C73:C77)</f>
        <v>56.238400000000006</v>
      </c>
      <c r="D78" s="491">
        <f t="shared" ref="D78:E78" si="26">SUM(D73:D77)</f>
        <v>82.555400000000006</v>
      </c>
      <c r="E78" s="491">
        <f t="shared" si="26"/>
        <v>54.125</v>
      </c>
    </row>
    <row r="80" spans="1:5" x14ac:dyDescent="0.25">
      <c r="A80" s="384" t="s">
        <v>333</v>
      </c>
      <c r="B80" s="489" t="s">
        <v>689</v>
      </c>
      <c r="C80" s="483">
        <v>3.36</v>
      </c>
      <c r="D80" s="490">
        <v>7.67</v>
      </c>
      <c r="E80">
        <f>IF(C80&lt;2,0,C80)</f>
        <v>3.36</v>
      </c>
    </row>
    <row r="81" spans="1:5" x14ac:dyDescent="0.25">
      <c r="A81" s="384" t="s">
        <v>333</v>
      </c>
      <c r="B81" s="489" t="s">
        <v>690</v>
      </c>
      <c r="C81" s="483">
        <v>1.15E-2</v>
      </c>
      <c r="D81" s="490">
        <v>6.1899999999999997E-2</v>
      </c>
      <c r="E81">
        <f t="shared" ref="E81:E92" si="27">IF(C81&lt;2,0,C81)</f>
        <v>0</v>
      </c>
    </row>
    <row r="82" spans="1:5" x14ac:dyDescent="0.25">
      <c r="A82" s="384" t="s">
        <v>333</v>
      </c>
      <c r="B82" s="489" t="s">
        <v>691</v>
      </c>
      <c r="C82" s="483">
        <v>1.8808</v>
      </c>
      <c r="D82" s="490">
        <v>4</v>
      </c>
      <c r="E82">
        <f t="shared" si="27"/>
        <v>0</v>
      </c>
    </row>
    <row r="83" spans="1:5" x14ac:dyDescent="0.25">
      <c r="A83" s="384" t="s">
        <v>333</v>
      </c>
      <c r="B83" s="489" t="s">
        <v>692</v>
      </c>
      <c r="C83" s="483">
        <v>1.25</v>
      </c>
      <c r="D83" s="490">
        <v>3</v>
      </c>
      <c r="E83">
        <f t="shared" si="27"/>
        <v>0</v>
      </c>
    </row>
    <row r="84" spans="1:5" x14ac:dyDescent="0.25">
      <c r="A84" s="384" t="s">
        <v>333</v>
      </c>
      <c r="B84" s="489" t="s">
        <v>780</v>
      </c>
      <c r="C84" s="483">
        <v>8.6449999999999996</v>
      </c>
      <c r="D84" s="490">
        <v>14.18</v>
      </c>
      <c r="E84">
        <f t="shared" si="27"/>
        <v>8.6449999999999996</v>
      </c>
    </row>
    <row r="85" spans="1:5" x14ac:dyDescent="0.25">
      <c r="A85" s="384" t="s">
        <v>333</v>
      </c>
      <c r="B85" s="489" t="s">
        <v>693</v>
      </c>
      <c r="C85" s="483">
        <v>2.1999999999999999E-2</v>
      </c>
      <c r="D85" s="490">
        <v>6.7199999999999996E-2</v>
      </c>
      <c r="E85">
        <f t="shared" si="27"/>
        <v>0</v>
      </c>
    </row>
    <row r="86" spans="1:5" ht="13.5" customHeight="1" x14ac:dyDescent="0.25">
      <c r="A86" s="384" t="s">
        <v>333</v>
      </c>
      <c r="B86" s="489" t="s">
        <v>694</v>
      </c>
      <c r="C86" s="483">
        <v>3.2</v>
      </c>
      <c r="D86" s="490">
        <v>8.24</v>
      </c>
      <c r="E86">
        <f t="shared" si="27"/>
        <v>3.2</v>
      </c>
    </row>
    <row r="87" spans="1:5" x14ac:dyDescent="0.25">
      <c r="A87" s="384" t="s">
        <v>333</v>
      </c>
      <c r="B87" s="489" t="s">
        <v>695</v>
      </c>
      <c r="C87" s="483">
        <v>8.8000000000000005E-3</v>
      </c>
      <c r="D87" s="490">
        <v>1.66E-2</v>
      </c>
      <c r="E87">
        <f t="shared" si="27"/>
        <v>0</v>
      </c>
    </row>
    <row r="88" spans="1:5" x14ac:dyDescent="0.25">
      <c r="A88" s="384" t="s">
        <v>333</v>
      </c>
      <c r="B88" s="489" t="s">
        <v>696</v>
      </c>
      <c r="C88" s="483">
        <v>8.5000000000000006E-3</v>
      </c>
      <c r="D88" s="490">
        <v>1.6E-2</v>
      </c>
      <c r="E88">
        <f t="shared" si="27"/>
        <v>0</v>
      </c>
    </row>
    <row r="89" spans="1:5" x14ac:dyDescent="0.25">
      <c r="A89" s="384" t="s">
        <v>333</v>
      </c>
      <c r="B89" s="489" t="s">
        <v>697</v>
      </c>
      <c r="C89" s="483">
        <v>1.26E-2</v>
      </c>
      <c r="D89" s="490">
        <v>2.53E-2</v>
      </c>
      <c r="E89">
        <f t="shared" si="27"/>
        <v>0</v>
      </c>
    </row>
    <row r="90" spans="1:5" x14ac:dyDescent="0.25">
      <c r="A90" s="384" t="s">
        <v>333</v>
      </c>
      <c r="B90" s="489" t="s">
        <v>698</v>
      </c>
      <c r="C90" s="483">
        <v>4.0000000000000001E-3</v>
      </c>
      <c r="D90" s="490">
        <v>1.4200000000000001E-2</v>
      </c>
      <c r="E90">
        <f t="shared" si="27"/>
        <v>0</v>
      </c>
    </row>
    <row r="91" spans="1:5" x14ac:dyDescent="0.25">
      <c r="A91" s="384" t="s">
        <v>333</v>
      </c>
      <c r="B91" s="489" t="s">
        <v>699</v>
      </c>
      <c r="C91" s="483">
        <v>3.2000000000000002E-3</v>
      </c>
      <c r="D91" s="490">
        <v>1.9099999999999999E-2</v>
      </c>
      <c r="E91">
        <f t="shared" si="27"/>
        <v>0</v>
      </c>
    </row>
    <row r="92" spans="1:5" x14ac:dyDescent="0.25">
      <c r="A92" s="384" t="s">
        <v>333</v>
      </c>
      <c r="B92" s="489" t="s">
        <v>700</v>
      </c>
      <c r="C92" s="483">
        <v>6.9000000000000006E-2</v>
      </c>
      <c r="D92" s="490">
        <v>0.16</v>
      </c>
      <c r="E92">
        <f t="shared" si="27"/>
        <v>0</v>
      </c>
    </row>
    <row r="93" spans="1:5" x14ac:dyDescent="0.25">
      <c r="A93" s="484" t="s">
        <v>409</v>
      </c>
      <c r="C93" s="485">
        <f>SUM(C80:C92)</f>
        <v>18.4754</v>
      </c>
      <c r="D93" s="485">
        <f t="shared" ref="D93:E93" si="28">SUM(D80:D92)</f>
        <v>37.470299999999995</v>
      </c>
      <c r="E93" s="485">
        <f t="shared" si="28"/>
        <v>15.204999999999998</v>
      </c>
    </row>
    <row r="94" spans="1:5" x14ac:dyDescent="0.25">
      <c r="A94" s="384"/>
    </row>
    <row r="95" spans="1:5" x14ac:dyDescent="0.25">
      <c r="A95" s="384" t="s">
        <v>335</v>
      </c>
      <c r="B95" s="489" t="s">
        <v>701</v>
      </c>
      <c r="C95" s="483">
        <v>3.2315999999999998</v>
      </c>
      <c r="D95" s="490">
        <v>7</v>
      </c>
      <c r="E95">
        <f>IF(C95&lt;2,0,C95)</f>
        <v>3.2315999999999998</v>
      </c>
    </row>
    <row r="96" spans="1:5" x14ac:dyDescent="0.25">
      <c r="A96" s="384" t="s">
        <v>335</v>
      </c>
      <c r="B96" s="489" t="s">
        <v>702</v>
      </c>
      <c r="C96" s="483">
        <v>6.9999999999999999E-4</v>
      </c>
      <c r="D96" s="490">
        <v>8.0999999999999996E-3</v>
      </c>
      <c r="E96">
        <f t="shared" ref="E96:E99" si="29">IF(C96&lt;2,0,C96)</f>
        <v>0</v>
      </c>
    </row>
    <row r="97" spans="1:5" x14ac:dyDescent="0.25">
      <c r="A97" s="384" t="s">
        <v>335</v>
      </c>
      <c r="B97" s="489" t="s">
        <v>703</v>
      </c>
      <c r="C97" s="483">
        <v>0.71730000000000005</v>
      </c>
      <c r="D97" s="490">
        <v>0.61</v>
      </c>
      <c r="E97">
        <f t="shared" si="29"/>
        <v>0</v>
      </c>
    </row>
    <row r="98" spans="1:5" x14ac:dyDescent="0.25">
      <c r="A98" s="384" t="s">
        <v>335</v>
      </c>
      <c r="B98" s="489" t="s">
        <v>704</v>
      </c>
      <c r="C98" s="483">
        <v>2.4868000000000001</v>
      </c>
      <c r="D98" s="490">
        <v>5</v>
      </c>
      <c r="E98">
        <f t="shared" si="29"/>
        <v>2.4868000000000001</v>
      </c>
    </row>
    <row r="99" spans="1:5" x14ac:dyDescent="0.25">
      <c r="A99" s="384" t="s">
        <v>335</v>
      </c>
      <c r="B99" s="489" t="s">
        <v>705</v>
      </c>
      <c r="C99" s="483">
        <v>5.7392000000000003</v>
      </c>
      <c r="D99" s="490">
        <v>8.1999999999999993</v>
      </c>
      <c r="E99">
        <f t="shared" si="29"/>
        <v>5.7392000000000003</v>
      </c>
    </row>
    <row r="100" spans="1:5" x14ac:dyDescent="0.25">
      <c r="A100" s="484" t="s">
        <v>409</v>
      </c>
      <c r="C100" s="485">
        <f>SUM(C95:C99)</f>
        <v>12.175600000000001</v>
      </c>
      <c r="D100" s="485">
        <f t="shared" ref="D100:E100" si="30">SUM(D95:D99)</f>
        <v>20.818100000000001</v>
      </c>
      <c r="E100" s="485">
        <f t="shared" si="30"/>
        <v>11.457599999999999</v>
      </c>
    </row>
    <row r="102" spans="1:5" x14ac:dyDescent="0.25">
      <c r="A102" s="384" t="s">
        <v>336</v>
      </c>
      <c r="B102" s="489" t="s">
        <v>706</v>
      </c>
      <c r="C102" s="483">
        <v>3.8332999999999999</v>
      </c>
      <c r="D102" s="490">
        <v>4.5</v>
      </c>
      <c r="E102">
        <f>IF(C102&lt;2,0,C102)</f>
        <v>3.8332999999999999</v>
      </c>
    </row>
    <row r="103" spans="1:5" x14ac:dyDescent="0.25">
      <c r="A103" s="384" t="s">
        <v>336</v>
      </c>
      <c r="B103" s="489" t="s">
        <v>707</v>
      </c>
      <c r="C103" s="483">
        <v>1.4851000000000001</v>
      </c>
      <c r="D103" s="490">
        <v>2</v>
      </c>
      <c r="E103">
        <f t="shared" ref="E103:E106" si="31">IF(C103&lt;2,0,C103)</f>
        <v>0</v>
      </c>
    </row>
    <row r="104" spans="1:5" x14ac:dyDescent="0.25">
      <c r="A104" s="384" t="s">
        <v>336</v>
      </c>
      <c r="B104" s="489" t="s">
        <v>708</v>
      </c>
      <c r="C104" s="483">
        <v>2.6629999999999998</v>
      </c>
      <c r="D104" s="490">
        <v>4.5999999999999996</v>
      </c>
      <c r="E104">
        <f t="shared" si="31"/>
        <v>2.6629999999999998</v>
      </c>
    </row>
    <row r="105" spans="1:5" x14ac:dyDescent="0.25">
      <c r="A105" s="384" t="s">
        <v>336</v>
      </c>
      <c r="B105" s="489" t="s">
        <v>781</v>
      </c>
      <c r="C105" s="483">
        <v>240.33330000000001</v>
      </c>
      <c r="D105" s="490">
        <v>330</v>
      </c>
      <c r="E105">
        <f t="shared" si="31"/>
        <v>240.33330000000001</v>
      </c>
    </row>
    <row r="106" spans="1:5" x14ac:dyDescent="0.25">
      <c r="A106" s="384" t="s">
        <v>336</v>
      </c>
      <c r="B106" s="489" t="s">
        <v>709</v>
      </c>
      <c r="C106" s="483">
        <v>2.0992000000000002</v>
      </c>
      <c r="D106" s="490">
        <v>3</v>
      </c>
      <c r="E106">
        <f t="shared" si="31"/>
        <v>2.0992000000000002</v>
      </c>
    </row>
    <row r="107" spans="1:5" x14ac:dyDescent="0.25">
      <c r="A107" s="484" t="s">
        <v>409</v>
      </c>
      <c r="B107" s="484"/>
      <c r="C107" s="485">
        <f>SUM(C102:C106)</f>
        <v>250.41390000000001</v>
      </c>
      <c r="D107" s="485">
        <f t="shared" ref="D107:E107" si="32">SUM(D102:D106)</f>
        <v>344.1</v>
      </c>
      <c r="E107" s="485">
        <f t="shared" si="32"/>
        <v>248.9288</v>
      </c>
    </row>
    <row r="109" spans="1:5" x14ac:dyDescent="0.25">
      <c r="A109" s="384" t="s">
        <v>337</v>
      </c>
      <c r="B109" s="489" t="s">
        <v>710</v>
      </c>
      <c r="C109" s="483">
        <v>1.38E-2</v>
      </c>
      <c r="D109" s="490">
        <v>0.02</v>
      </c>
      <c r="E109">
        <f>IF(C109&lt;2,0,C109)</f>
        <v>0</v>
      </c>
    </row>
    <row r="110" spans="1:5" x14ac:dyDescent="0.25">
      <c r="A110" s="384" t="s">
        <v>337</v>
      </c>
      <c r="B110" s="489" t="s">
        <v>711</v>
      </c>
      <c r="C110" s="483">
        <v>0.4632</v>
      </c>
      <c r="D110" s="490">
        <v>1</v>
      </c>
      <c r="E110">
        <f t="shared" ref="E110:E115" si="33">IF(C110&lt;2,0,C110)</f>
        <v>0</v>
      </c>
    </row>
    <row r="111" spans="1:5" x14ac:dyDescent="0.25">
      <c r="A111" s="384" t="s">
        <v>337</v>
      </c>
      <c r="B111" s="489" t="s">
        <v>712</v>
      </c>
      <c r="C111" s="483">
        <v>0.37719999999999998</v>
      </c>
      <c r="D111" s="490">
        <v>0.8</v>
      </c>
      <c r="E111">
        <f t="shared" si="33"/>
        <v>0</v>
      </c>
    </row>
    <row r="112" spans="1:5" x14ac:dyDescent="0.25">
      <c r="A112" s="384" t="s">
        <v>337</v>
      </c>
      <c r="B112" s="489" t="s">
        <v>713</v>
      </c>
      <c r="C112" s="483">
        <v>1.0813999999999999</v>
      </c>
      <c r="D112" s="490">
        <v>2</v>
      </c>
      <c r="E112">
        <f t="shared" si="33"/>
        <v>0</v>
      </c>
    </row>
    <row r="113" spans="1:5" x14ac:dyDescent="0.25">
      <c r="A113" s="384" t="s">
        <v>337</v>
      </c>
      <c r="B113" s="489" t="s">
        <v>714</v>
      </c>
      <c r="C113" s="483">
        <v>0.20880000000000001</v>
      </c>
      <c r="D113" s="490">
        <v>0.35</v>
      </c>
      <c r="E113">
        <f t="shared" si="33"/>
        <v>0</v>
      </c>
    </row>
    <row r="114" spans="1:5" x14ac:dyDescent="0.25">
      <c r="A114" s="384" t="s">
        <v>337</v>
      </c>
      <c r="B114" s="489" t="s">
        <v>715</v>
      </c>
      <c r="C114" s="483">
        <v>15.99</v>
      </c>
      <c r="D114" s="490">
        <v>27</v>
      </c>
      <c r="E114">
        <f t="shared" si="33"/>
        <v>15.99</v>
      </c>
    </row>
    <row r="115" spans="1:5" x14ac:dyDescent="0.25">
      <c r="A115" s="384" t="s">
        <v>337</v>
      </c>
      <c r="B115" s="489" t="s">
        <v>716</v>
      </c>
      <c r="C115" s="483">
        <v>5.0000000000000001E-4</v>
      </c>
      <c r="D115" s="490">
        <v>2.5999999999999999E-3</v>
      </c>
      <c r="E115">
        <f t="shared" si="33"/>
        <v>0</v>
      </c>
    </row>
    <row r="116" spans="1:5" x14ac:dyDescent="0.25">
      <c r="A116" s="484" t="s">
        <v>409</v>
      </c>
      <c r="B116" s="484"/>
      <c r="C116" s="485">
        <f>SUM(C109:C115)</f>
        <v>18.134899999999998</v>
      </c>
      <c r="D116" s="485">
        <f t="shared" ref="D116:E116" si="34">SUM(D109:D115)</f>
        <v>31.172600000000003</v>
      </c>
      <c r="E116" s="485">
        <f t="shared" si="34"/>
        <v>15.99</v>
      </c>
    </row>
    <row r="118" spans="1:5" x14ac:dyDescent="0.25">
      <c r="A118" s="384" t="s">
        <v>338</v>
      </c>
      <c r="B118" s="489" t="s">
        <v>717</v>
      </c>
      <c r="C118" s="483">
        <v>13.067500000000001</v>
      </c>
      <c r="D118" s="490">
        <v>20.8</v>
      </c>
      <c r="E118">
        <f>IF(C118&lt;2,0,C118)</f>
        <v>13.067500000000001</v>
      </c>
    </row>
    <row r="119" spans="1:5" x14ac:dyDescent="0.25">
      <c r="A119" s="384" t="s">
        <v>338</v>
      </c>
      <c r="B119" s="489" t="s">
        <v>718</v>
      </c>
      <c r="C119" s="483">
        <v>3.3096999999999999</v>
      </c>
      <c r="D119" s="490">
        <v>2.91</v>
      </c>
      <c r="E119">
        <f t="shared" ref="E119:E123" si="35">IF(C119&lt;2,0,C119)</f>
        <v>3.3096999999999999</v>
      </c>
    </row>
    <row r="120" spans="1:5" x14ac:dyDescent="0.25">
      <c r="A120" s="384" t="s">
        <v>338</v>
      </c>
      <c r="B120" s="489" t="s">
        <v>719</v>
      </c>
      <c r="C120" s="483">
        <v>7.5258000000000003</v>
      </c>
      <c r="D120" s="490">
        <v>10</v>
      </c>
      <c r="E120">
        <f t="shared" si="35"/>
        <v>7.5258000000000003</v>
      </c>
    </row>
    <row r="121" spans="1:5" x14ac:dyDescent="0.25">
      <c r="A121" s="384" t="s">
        <v>338</v>
      </c>
      <c r="B121" s="489" t="s">
        <v>720</v>
      </c>
      <c r="C121" s="483">
        <v>0.14699999999999999</v>
      </c>
      <c r="D121" s="490">
        <v>0.75</v>
      </c>
      <c r="E121">
        <f t="shared" si="35"/>
        <v>0</v>
      </c>
    </row>
    <row r="122" spans="1:5" x14ac:dyDescent="0.25">
      <c r="A122" s="384" t="s">
        <v>338</v>
      </c>
      <c r="B122" s="489" t="s">
        <v>782</v>
      </c>
      <c r="C122" s="483">
        <v>3.0749</v>
      </c>
      <c r="D122" s="490">
        <v>5.12</v>
      </c>
      <c r="E122">
        <f t="shared" si="35"/>
        <v>3.0749</v>
      </c>
    </row>
    <row r="123" spans="1:5" x14ac:dyDescent="0.25">
      <c r="A123" s="384" t="s">
        <v>338</v>
      </c>
      <c r="B123" s="489" t="s">
        <v>721</v>
      </c>
      <c r="C123" s="483">
        <v>9.5274999999999999</v>
      </c>
      <c r="D123" s="490">
        <v>10</v>
      </c>
      <c r="E123">
        <f t="shared" si="35"/>
        <v>9.5274999999999999</v>
      </c>
    </row>
    <row r="124" spans="1:5" x14ac:dyDescent="0.25">
      <c r="A124" s="484" t="s">
        <v>409</v>
      </c>
      <c r="B124" s="484"/>
      <c r="C124" s="485">
        <f>SUM(C118:C123)</f>
        <v>36.6524</v>
      </c>
      <c r="D124" s="485">
        <f t="shared" ref="D124:E124" si="36">SUM(D118:D123)</f>
        <v>49.58</v>
      </c>
      <c r="E124" s="485">
        <f t="shared" si="36"/>
        <v>36.505400000000002</v>
      </c>
    </row>
    <row r="126" spans="1:5" x14ac:dyDescent="0.25">
      <c r="A126" s="384" t="s">
        <v>339</v>
      </c>
      <c r="B126" s="489" t="s">
        <v>722</v>
      </c>
      <c r="C126" s="483">
        <v>7.1000000000000004E-3</v>
      </c>
      <c r="D126" s="490">
        <v>1.7999999999999999E-2</v>
      </c>
      <c r="E126">
        <f>IF(C126&lt;2,0,C126)</f>
        <v>0</v>
      </c>
    </row>
    <row r="127" spans="1:5" x14ac:dyDescent="0.25">
      <c r="A127" s="384" t="s">
        <v>339</v>
      </c>
      <c r="B127" s="489" t="s">
        <v>723</v>
      </c>
      <c r="C127" s="483">
        <v>8.9999999999999998E-4</v>
      </c>
      <c r="D127" s="490">
        <v>1.0999999999999999E-2</v>
      </c>
      <c r="E127">
        <f t="shared" ref="E127:E161" si="37">IF(C127&lt;2,0,C127)</f>
        <v>0</v>
      </c>
    </row>
    <row r="128" spans="1:5" x14ac:dyDescent="0.25">
      <c r="A128" s="384" t="s">
        <v>339</v>
      </c>
      <c r="B128" s="489" t="s">
        <v>724</v>
      </c>
      <c r="C128" s="483">
        <v>2.0000000000000001E-4</v>
      </c>
      <c r="D128" s="490">
        <v>2.5999999999999999E-3</v>
      </c>
      <c r="E128">
        <f t="shared" si="37"/>
        <v>0</v>
      </c>
    </row>
    <row r="129" spans="1:5" x14ac:dyDescent="0.25">
      <c r="A129" s="384" t="s">
        <v>339</v>
      </c>
      <c r="B129" s="489" t="s">
        <v>725</v>
      </c>
      <c r="C129" s="483">
        <v>1.03E-2</v>
      </c>
      <c r="D129" s="490">
        <v>2.1999999999999999E-2</v>
      </c>
      <c r="E129">
        <f t="shared" si="37"/>
        <v>0</v>
      </c>
    </row>
    <row r="130" spans="1:5" x14ac:dyDescent="0.25">
      <c r="A130" s="384" t="s">
        <v>339</v>
      </c>
      <c r="B130" s="489" t="s">
        <v>726</v>
      </c>
      <c r="C130" s="483">
        <v>6.3E-3</v>
      </c>
      <c r="D130" s="490">
        <v>1.9E-2</v>
      </c>
      <c r="E130">
        <f t="shared" si="37"/>
        <v>0</v>
      </c>
    </row>
    <row r="131" spans="1:5" x14ac:dyDescent="0.25">
      <c r="A131" s="384" t="s">
        <v>339</v>
      </c>
      <c r="B131" s="489" t="s">
        <v>783</v>
      </c>
      <c r="C131" s="483">
        <v>6.9999999999999999E-4</v>
      </c>
      <c r="D131" s="490">
        <v>8.9999999999999993E-3</v>
      </c>
      <c r="E131">
        <f t="shared" si="37"/>
        <v>0</v>
      </c>
    </row>
    <row r="132" spans="1:5" x14ac:dyDescent="0.25">
      <c r="A132" s="384" t="s">
        <v>339</v>
      </c>
      <c r="B132" s="489" t="s">
        <v>727</v>
      </c>
      <c r="C132" s="483">
        <v>1.3547</v>
      </c>
      <c r="D132" s="490">
        <v>2.0299999999999998</v>
      </c>
      <c r="E132">
        <f t="shared" si="37"/>
        <v>0</v>
      </c>
    </row>
    <row r="133" spans="1:5" x14ac:dyDescent="0.25">
      <c r="A133" s="384" t="s">
        <v>339</v>
      </c>
      <c r="B133" s="489" t="s">
        <v>728</v>
      </c>
      <c r="C133" s="483">
        <v>1.8E-3</v>
      </c>
      <c r="D133" s="490">
        <v>8.9999999999999993E-3</v>
      </c>
      <c r="E133">
        <f t="shared" si="37"/>
        <v>0</v>
      </c>
    </row>
    <row r="134" spans="1:5" x14ac:dyDescent="0.25">
      <c r="A134" s="384" t="s">
        <v>339</v>
      </c>
      <c r="B134" s="489" t="s">
        <v>729</v>
      </c>
      <c r="C134" s="483">
        <v>0.16950000000000001</v>
      </c>
      <c r="D134" s="490">
        <v>0.26</v>
      </c>
      <c r="E134">
        <f t="shared" si="37"/>
        <v>0</v>
      </c>
    </row>
    <row r="135" spans="1:5" x14ac:dyDescent="0.25">
      <c r="A135" s="384" t="s">
        <v>339</v>
      </c>
      <c r="B135" s="489" t="s">
        <v>730</v>
      </c>
      <c r="C135" s="483">
        <v>1.2999999999999999E-3</v>
      </c>
      <c r="D135" s="490">
        <v>6.6E-3</v>
      </c>
      <c r="E135">
        <f t="shared" si="37"/>
        <v>0</v>
      </c>
    </row>
    <row r="136" spans="1:5" x14ac:dyDescent="0.25">
      <c r="A136" s="384" t="s">
        <v>339</v>
      </c>
      <c r="B136" s="489" t="s">
        <v>731</v>
      </c>
      <c r="C136" s="483">
        <v>2.1999999999999999E-2</v>
      </c>
      <c r="D136" s="490">
        <v>5.0500000000000003E-2</v>
      </c>
      <c r="E136">
        <f t="shared" si="37"/>
        <v>0</v>
      </c>
    </row>
    <row r="137" spans="1:5" x14ac:dyDescent="0.25">
      <c r="A137" s="384" t="s">
        <v>339</v>
      </c>
      <c r="B137" s="489" t="s">
        <v>732</v>
      </c>
      <c r="C137" s="483">
        <v>1.1900000000000001E-2</v>
      </c>
      <c r="D137" s="490">
        <v>2.5000000000000001E-2</v>
      </c>
      <c r="E137">
        <f t="shared" si="37"/>
        <v>0</v>
      </c>
    </row>
    <row r="138" spans="1:5" x14ac:dyDescent="0.25">
      <c r="A138" s="384" t="s">
        <v>339</v>
      </c>
      <c r="B138" s="489" t="s">
        <v>733</v>
      </c>
      <c r="C138" s="483">
        <v>2.5100000000000001E-2</v>
      </c>
      <c r="D138" s="490">
        <v>6.5000000000000002E-2</v>
      </c>
      <c r="E138">
        <f t="shared" si="37"/>
        <v>0</v>
      </c>
    </row>
    <row r="139" spans="1:5" x14ac:dyDescent="0.25">
      <c r="A139" s="384" t="s">
        <v>339</v>
      </c>
      <c r="B139" s="489" t="s">
        <v>734</v>
      </c>
      <c r="C139" s="483">
        <v>6.9999999999999999E-4</v>
      </c>
      <c r="D139" s="490">
        <v>1.2999999999999999E-3</v>
      </c>
      <c r="E139">
        <f t="shared" si="37"/>
        <v>0</v>
      </c>
    </row>
    <row r="140" spans="1:5" x14ac:dyDescent="0.25">
      <c r="A140" s="384" t="s">
        <v>339</v>
      </c>
      <c r="B140" s="489" t="s">
        <v>735</v>
      </c>
      <c r="C140" s="483">
        <v>0.17710000000000001</v>
      </c>
      <c r="D140" s="490">
        <v>0.15</v>
      </c>
      <c r="E140">
        <f t="shared" si="37"/>
        <v>0</v>
      </c>
    </row>
    <row r="141" spans="1:5" x14ac:dyDescent="0.25">
      <c r="A141" s="384" t="s">
        <v>339</v>
      </c>
      <c r="B141" s="489" t="s">
        <v>736</v>
      </c>
      <c r="C141" s="483">
        <v>6.9999999999999999E-4</v>
      </c>
      <c r="D141" s="490">
        <v>7.7999999999999996E-3</v>
      </c>
      <c r="E141">
        <f t="shared" si="37"/>
        <v>0</v>
      </c>
    </row>
    <row r="142" spans="1:5" x14ac:dyDescent="0.25">
      <c r="A142" s="384" t="s">
        <v>339</v>
      </c>
      <c r="B142" s="489" t="s">
        <v>737</v>
      </c>
      <c r="C142" s="483">
        <v>3.2000000000000001E-2</v>
      </c>
      <c r="D142" s="490">
        <v>5.8000000000000003E-2</v>
      </c>
      <c r="E142">
        <f t="shared" si="37"/>
        <v>0</v>
      </c>
    </row>
    <row r="143" spans="1:5" x14ac:dyDescent="0.25">
      <c r="A143" s="384" t="s">
        <v>339</v>
      </c>
      <c r="B143" s="489" t="s">
        <v>738</v>
      </c>
      <c r="C143" s="483">
        <v>1.5E-3</v>
      </c>
      <c r="D143" s="490">
        <v>4.7999999999999996E-3</v>
      </c>
      <c r="E143">
        <f t="shared" si="37"/>
        <v>0</v>
      </c>
    </row>
    <row r="144" spans="1:5" x14ac:dyDescent="0.25">
      <c r="A144" s="384" t="s">
        <v>339</v>
      </c>
      <c r="B144" s="489" t="s">
        <v>739</v>
      </c>
      <c r="C144" s="483">
        <v>0.87180000000000002</v>
      </c>
      <c r="D144" s="490">
        <v>1.5</v>
      </c>
      <c r="E144">
        <f t="shared" si="37"/>
        <v>0</v>
      </c>
    </row>
    <row r="145" spans="1:5" x14ac:dyDescent="0.25">
      <c r="A145" s="384" t="s">
        <v>339</v>
      </c>
      <c r="B145" s="489" t="s">
        <v>740</v>
      </c>
      <c r="C145" s="483">
        <v>4.53E-2</v>
      </c>
      <c r="D145" s="490">
        <v>5.1999999999999998E-2</v>
      </c>
      <c r="E145">
        <f t="shared" si="37"/>
        <v>0</v>
      </c>
    </row>
    <row r="146" spans="1:5" x14ac:dyDescent="0.25">
      <c r="A146" s="384" t="s">
        <v>339</v>
      </c>
      <c r="B146" s="489" t="s">
        <v>741</v>
      </c>
      <c r="C146" s="483">
        <v>0.23649999999999999</v>
      </c>
      <c r="D146" s="490">
        <v>0.4</v>
      </c>
      <c r="E146">
        <f t="shared" si="37"/>
        <v>0</v>
      </c>
    </row>
    <row r="147" spans="1:5" x14ac:dyDescent="0.25">
      <c r="A147" s="384" t="s">
        <v>339</v>
      </c>
      <c r="B147" s="489" t="s">
        <v>742</v>
      </c>
      <c r="C147" s="483">
        <v>4.0000000000000002E-4</v>
      </c>
      <c r="D147" s="490">
        <v>1.4999999999999999E-2</v>
      </c>
      <c r="E147">
        <f t="shared" si="37"/>
        <v>0</v>
      </c>
    </row>
    <row r="148" spans="1:5" x14ac:dyDescent="0.25">
      <c r="A148" s="384" t="s">
        <v>339</v>
      </c>
      <c r="B148" s="489" t="s">
        <v>743</v>
      </c>
      <c r="C148" s="483">
        <v>3.0325000000000002</v>
      </c>
      <c r="D148" s="490">
        <v>3.8</v>
      </c>
      <c r="E148">
        <f t="shared" si="37"/>
        <v>3.0325000000000002</v>
      </c>
    </row>
    <row r="149" spans="1:5" x14ac:dyDescent="0.25">
      <c r="A149" s="384" t="s">
        <v>339</v>
      </c>
      <c r="B149" s="489" t="s">
        <v>744</v>
      </c>
      <c r="C149" s="483">
        <v>0</v>
      </c>
      <c r="D149" s="490">
        <v>3.85</v>
      </c>
      <c r="E149">
        <f t="shared" si="37"/>
        <v>0</v>
      </c>
    </row>
    <row r="150" spans="1:5" x14ac:dyDescent="0.25">
      <c r="A150" s="384" t="s">
        <v>339</v>
      </c>
      <c r="B150" s="489" t="s">
        <v>745</v>
      </c>
      <c r="C150" s="483">
        <v>3.4700000000000002E-2</v>
      </c>
      <c r="D150" s="490">
        <v>6.0999999999999999E-2</v>
      </c>
      <c r="E150">
        <f t="shared" si="37"/>
        <v>0</v>
      </c>
    </row>
    <row r="151" spans="1:5" x14ac:dyDescent="0.25">
      <c r="A151" s="384" t="s">
        <v>339</v>
      </c>
      <c r="B151" s="489" t="s">
        <v>746</v>
      </c>
      <c r="C151" s="483">
        <v>0.7056</v>
      </c>
      <c r="D151" s="490">
        <v>0.8</v>
      </c>
      <c r="E151">
        <f t="shared" si="37"/>
        <v>0</v>
      </c>
    </row>
    <row r="152" spans="1:5" x14ac:dyDescent="0.25">
      <c r="A152" s="384" t="s">
        <v>339</v>
      </c>
      <c r="B152" s="489" t="s">
        <v>747</v>
      </c>
      <c r="C152" s="483">
        <v>2.7000000000000001E-3</v>
      </c>
      <c r="D152" s="490">
        <v>8.2000000000000007E-3</v>
      </c>
      <c r="E152">
        <f t="shared" si="37"/>
        <v>0</v>
      </c>
    </row>
    <row r="153" spans="1:5" x14ac:dyDescent="0.25">
      <c r="A153" s="384" t="s">
        <v>339</v>
      </c>
      <c r="B153" s="489" t="s">
        <v>748</v>
      </c>
      <c r="C153" s="483">
        <v>4.53E-2</v>
      </c>
      <c r="D153" s="490">
        <v>4.8000000000000001E-2</v>
      </c>
      <c r="E153">
        <f t="shared" si="37"/>
        <v>0</v>
      </c>
    </row>
    <row r="154" spans="1:5" x14ac:dyDescent="0.25">
      <c r="A154" s="384" t="s">
        <v>339</v>
      </c>
      <c r="B154" s="489" t="s">
        <v>749</v>
      </c>
      <c r="C154" s="483">
        <v>2.63E-2</v>
      </c>
      <c r="D154" s="490">
        <v>0.03</v>
      </c>
      <c r="E154">
        <f t="shared" si="37"/>
        <v>0</v>
      </c>
    </row>
    <row r="155" spans="1:5" x14ac:dyDescent="0.25">
      <c r="A155" s="384" t="s">
        <v>339</v>
      </c>
      <c r="B155" s="489" t="s">
        <v>750</v>
      </c>
      <c r="C155" s="483">
        <v>1.21E-2</v>
      </c>
      <c r="D155" s="490">
        <v>2.2499999999999999E-2</v>
      </c>
      <c r="E155">
        <f t="shared" si="37"/>
        <v>0</v>
      </c>
    </row>
    <row r="156" spans="1:5" x14ac:dyDescent="0.25">
      <c r="A156" s="384" t="s">
        <v>339</v>
      </c>
      <c r="B156" s="489" t="s">
        <v>751</v>
      </c>
      <c r="C156" s="483">
        <v>1.6000000000000001E-3</v>
      </c>
      <c r="D156" s="490">
        <v>9.9000000000000008E-3</v>
      </c>
      <c r="E156">
        <f t="shared" si="37"/>
        <v>0</v>
      </c>
    </row>
    <row r="157" spans="1:5" x14ac:dyDescent="0.25">
      <c r="A157" s="384" t="s">
        <v>339</v>
      </c>
      <c r="B157" s="489" t="s">
        <v>752</v>
      </c>
      <c r="C157" s="483">
        <v>7.1000000000000004E-3</v>
      </c>
      <c r="D157" s="490">
        <v>1.5599999999999999E-2</v>
      </c>
      <c r="E157">
        <f t="shared" si="37"/>
        <v>0</v>
      </c>
    </row>
    <row r="158" spans="1:5" x14ac:dyDescent="0.25">
      <c r="A158" s="384" t="s">
        <v>339</v>
      </c>
      <c r="B158" s="489" t="s">
        <v>753</v>
      </c>
      <c r="C158" s="483">
        <v>2.0000000000000001E-4</v>
      </c>
      <c r="D158" s="490">
        <v>6.0000000000000001E-3</v>
      </c>
      <c r="E158">
        <f t="shared" si="37"/>
        <v>0</v>
      </c>
    </row>
    <row r="159" spans="1:5" x14ac:dyDescent="0.25">
      <c r="A159" s="384" t="s">
        <v>339</v>
      </c>
      <c r="B159" s="489" t="s">
        <v>754</v>
      </c>
      <c r="C159" s="483">
        <v>8.9999999999999998E-4</v>
      </c>
      <c r="D159" s="490">
        <v>1.0999999999999999E-2</v>
      </c>
      <c r="E159">
        <f t="shared" si="37"/>
        <v>0</v>
      </c>
    </row>
    <row r="160" spans="1:5" x14ac:dyDescent="0.25">
      <c r="A160" s="384" t="s">
        <v>339</v>
      </c>
      <c r="B160" s="489" t="s">
        <v>755</v>
      </c>
      <c r="C160" s="483">
        <v>3.3999999999999998E-3</v>
      </c>
      <c r="D160" s="490">
        <v>1.6199999999999999E-2</v>
      </c>
      <c r="E160">
        <f t="shared" si="37"/>
        <v>0</v>
      </c>
    </row>
    <row r="161" spans="1:5" x14ac:dyDescent="0.25">
      <c r="A161" s="384" t="s">
        <v>339</v>
      </c>
      <c r="B161" s="489" t="s">
        <v>756</v>
      </c>
      <c r="C161" s="483">
        <v>1.46E-2</v>
      </c>
      <c r="D161" s="490">
        <v>2.1999999999999999E-2</v>
      </c>
      <c r="E161">
        <f t="shared" si="37"/>
        <v>0</v>
      </c>
    </row>
    <row r="162" spans="1:5" x14ac:dyDescent="0.25">
      <c r="A162" s="484" t="s">
        <v>409</v>
      </c>
      <c r="B162" s="484"/>
      <c r="C162" s="485">
        <f>SUM(C126:C161)</f>
        <v>6.8648000000000007</v>
      </c>
      <c r="D162" s="485">
        <f t="shared" ref="D162:E162" si="38">SUM(D126:D161)</f>
        <v>13.416999999999998</v>
      </c>
      <c r="E162" s="485">
        <f t="shared" si="38"/>
        <v>3.0325000000000002</v>
      </c>
    </row>
    <row r="163" spans="1:5" x14ac:dyDescent="0.25">
      <c r="A163" s="384"/>
    </row>
    <row r="164" spans="1:5" x14ac:dyDescent="0.25">
      <c r="A164" s="384" t="s">
        <v>340</v>
      </c>
      <c r="B164" s="489" t="s">
        <v>757</v>
      </c>
      <c r="C164" s="483">
        <v>6.0000000000000001E-3</v>
      </c>
      <c r="D164" s="490">
        <v>0.02</v>
      </c>
      <c r="E164">
        <f>IF(C164&lt;2,0,C164)</f>
        <v>0</v>
      </c>
    </row>
    <row r="165" spans="1:5" x14ac:dyDescent="0.25">
      <c r="A165" s="384" t="s">
        <v>340</v>
      </c>
      <c r="B165" s="489" t="s">
        <v>758</v>
      </c>
      <c r="C165" s="483">
        <v>2.8416999999999999</v>
      </c>
      <c r="D165" s="490">
        <v>4.5</v>
      </c>
      <c r="E165">
        <f t="shared" ref="E165:E177" si="39">IF(C165&lt;2,0,C165)</f>
        <v>2.8416999999999999</v>
      </c>
    </row>
    <row r="166" spans="1:5" x14ac:dyDescent="0.25">
      <c r="A166" s="384" t="s">
        <v>340</v>
      </c>
      <c r="B166" s="489" t="s">
        <v>759</v>
      </c>
      <c r="C166" s="483">
        <v>8.9588999999999999</v>
      </c>
      <c r="D166" s="490">
        <v>16</v>
      </c>
      <c r="E166">
        <f t="shared" si="39"/>
        <v>8.9588999999999999</v>
      </c>
    </row>
    <row r="167" spans="1:5" x14ac:dyDescent="0.25">
      <c r="A167" s="384" t="s">
        <v>340</v>
      </c>
      <c r="B167" s="489" t="s">
        <v>760</v>
      </c>
      <c r="C167" s="483">
        <v>0.76449999999999996</v>
      </c>
      <c r="D167" s="490">
        <v>1</v>
      </c>
      <c r="E167">
        <f t="shared" si="39"/>
        <v>0</v>
      </c>
    </row>
    <row r="168" spans="1:5" x14ac:dyDescent="0.25">
      <c r="A168" s="384" t="s">
        <v>340</v>
      </c>
      <c r="B168" s="489" t="s">
        <v>761</v>
      </c>
      <c r="C168" s="483">
        <v>4.36E-2</v>
      </c>
      <c r="D168" s="490">
        <v>0.05</v>
      </c>
      <c r="E168">
        <f t="shared" si="39"/>
        <v>0</v>
      </c>
    </row>
    <row r="169" spans="1:5" x14ac:dyDescent="0.25">
      <c r="A169" s="384" t="s">
        <v>340</v>
      </c>
      <c r="B169" s="489" t="s">
        <v>762</v>
      </c>
      <c r="C169" s="483">
        <v>1.7500000000000002E-2</v>
      </c>
      <c r="D169" s="490">
        <v>0.08</v>
      </c>
      <c r="E169">
        <f t="shared" si="39"/>
        <v>0</v>
      </c>
    </row>
    <row r="170" spans="1:5" x14ac:dyDescent="0.25">
      <c r="A170" s="384" t="s">
        <v>340</v>
      </c>
      <c r="B170" s="489" t="s">
        <v>763</v>
      </c>
      <c r="C170" s="483">
        <v>9.5100000000000004E-2</v>
      </c>
      <c r="D170" s="490">
        <v>0.09</v>
      </c>
      <c r="E170">
        <f t="shared" si="39"/>
        <v>0</v>
      </c>
    </row>
    <row r="171" spans="1:5" x14ac:dyDescent="0.25">
      <c r="A171" s="384" t="s">
        <v>340</v>
      </c>
      <c r="B171" s="489" t="s">
        <v>764</v>
      </c>
      <c r="C171" s="483">
        <v>0.2717</v>
      </c>
      <c r="D171" s="490">
        <v>0.3</v>
      </c>
      <c r="E171">
        <f t="shared" si="39"/>
        <v>0</v>
      </c>
    </row>
    <row r="172" spans="1:5" x14ac:dyDescent="0.25">
      <c r="A172" s="384" t="s">
        <v>340</v>
      </c>
      <c r="B172" s="489" t="s">
        <v>770</v>
      </c>
      <c r="C172" s="483">
        <v>0.26750000000000002</v>
      </c>
      <c r="D172" s="490">
        <v>0.44500000000000001</v>
      </c>
      <c r="E172">
        <f t="shared" si="39"/>
        <v>0</v>
      </c>
    </row>
    <row r="173" spans="1:5" x14ac:dyDescent="0.25">
      <c r="A173" s="384" t="s">
        <v>340</v>
      </c>
      <c r="B173" s="489" t="s">
        <v>765</v>
      </c>
      <c r="C173" s="483">
        <v>4.0599999999999997E-2</v>
      </c>
      <c r="D173" s="490">
        <v>0.08</v>
      </c>
      <c r="E173">
        <f t="shared" si="39"/>
        <v>0</v>
      </c>
    </row>
    <row r="174" spans="1:5" x14ac:dyDescent="0.25">
      <c r="A174" s="384" t="s">
        <v>340</v>
      </c>
      <c r="B174" s="489" t="s">
        <v>766</v>
      </c>
      <c r="C174" s="483">
        <v>9.8393999999999995</v>
      </c>
      <c r="D174" s="490">
        <v>16</v>
      </c>
      <c r="E174">
        <f t="shared" si="39"/>
        <v>9.8393999999999995</v>
      </c>
    </row>
    <row r="175" spans="1:5" x14ac:dyDescent="0.25">
      <c r="A175" s="384" t="s">
        <v>340</v>
      </c>
      <c r="B175" s="489" t="s">
        <v>767</v>
      </c>
      <c r="C175" s="483">
        <v>4.4999999999999997E-3</v>
      </c>
      <c r="D175" s="490">
        <v>1.4200000000000001E-2</v>
      </c>
      <c r="E175">
        <f t="shared" si="39"/>
        <v>0</v>
      </c>
    </row>
    <row r="176" spans="1:5" x14ac:dyDescent="0.25">
      <c r="A176" s="384" t="s">
        <v>340</v>
      </c>
      <c r="B176" s="489" t="s">
        <v>768</v>
      </c>
      <c r="C176" s="483">
        <v>9.7524999999999995</v>
      </c>
      <c r="D176" s="490">
        <v>13.06</v>
      </c>
      <c r="E176">
        <f t="shared" si="39"/>
        <v>9.7524999999999995</v>
      </c>
    </row>
    <row r="177" spans="1:5" x14ac:dyDescent="0.25">
      <c r="A177" s="384" t="s">
        <v>340</v>
      </c>
      <c r="B177" s="489" t="s">
        <v>769</v>
      </c>
      <c r="C177" s="483">
        <v>10.8142</v>
      </c>
      <c r="D177" s="490">
        <v>20</v>
      </c>
      <c r="E177">
        <f t="shared" si="39"/>
        <v>10.8142</v>
      </c>
    </row>
    <row r="178" spans="1:5" x14ac:dyDescent="0.25">
      <c r="A178" s="484" t="s">
        <v>409</v>
      </c>
      <c r="B178" s="484"/>
      <c r="C178" s="485">
        <f>SUM(C164:C177)</f>
        <v>43.717699999999994</v>
      </c>
      <c r="D178" s="485">
        <f t="shared" ref="D178:E178" si="40">SUM(D164:D177)</f>
        <v>71.639200000000002</v>
      </c>
      <c r="E178" s="485">
        <f t="shared" si="40"/>
        <v>42.206699999999998</v>
      </c>
    </row>
    <row r="179" spans="1:5" x14ac:dyDescent="0.25">
      <c r="A179" s="384"/>
    </row>
    <row r="180" spans="1:5" x14ac:dyDescent="0.25">
      <c r="A180" s="384" t="s">
        <v>341</v>
      </c>
      <c r="B180" s="489" t="s">
        <v>771</v>
      </c>
      <c r="C180" s="483">
        <v>1.0999999999999999E-2</v>
      </c>
      <c r="D180" s="490">
        <v>1.0999999999999999E-2</v>
      </c>
      <c r="E180">
        <f>IF(C180&lt;2,0,C180)</f>
        <v>0</v>
      </c>
    </row>
    <row r="181" spans="1:5" x14ac:dyDescent="0.25">
      <c r="A181" s="384" t="s">
        <v>341</v>
      </c>
      <c r="B181" s="489" t="s">
        <v>772</v>
      </c>
      <c r="C181" s="483">
        <v>4.3299999999999998E-2</v>
      </c>
      <c r="D181" s="490">
        <v>0.15</v>
      </c>
      <c r="E181">
        <f t="shared" ref="E181:E183" si="41">IF(C181&lt;2,0,C181)</f>
        <v>0</v>
      </c>
    </row>
    <row r="182" spans="1:5" x14ac:dyDescent="0.25">
      <c r="A182" s="384" t="s">
        <v>341</v>
      </c>
      <c r="B182" s="489" t="s">
        <v>773</v>
      </c>
      <c r="C182" s="483">
        <v>1.3522000000000001</v>
      </c>
      <c r="D182" s="490">
        <v>1.64</v>
      </c>
      <c r="E182">
        <f t="shared" si="41"/>
        <v>0</v>
      </c>
    </row>
    <row r="183" spans="1:5" x14ac:dyDescent="0.25">
      <c r="A183" s="384" t="s">
        <v>341</v>
      </c>
      <c r="B183" s="489" t="s">
        <v>774</v>
      </c>
      <c r="C183" s="483">
        <v>122.7991</v>
      </c>
      <c r="D183" s="490">
        <v>147</v>
      </c>
      <c r="E183">
        <f t="shared" si="41"/>
        <v>122.7991</v>
      </c>
    </row>
    <row r="184" spans="1:5" x14ac:dyDescent="0.25">
      <c r="A184" s="484" t="s">
        <v>409</v>
      </c>
      <c r="B184" s="484"/>
      <c r="C184" s="485">
        <f>SUM(C180:C183)</f>
        <v>124.20559999999999</v>
      </c>
      <c r="D184" s="485">
        <f t="shared" ref="D184:E184" si="42">SUM(D180:D183)</f>
        <v>148.80099999999999</v>
      </c>
      <c r="E184" s="485">
        <f t="shared" si="42"/>
        <v>122.7991</v>
      </c>
    </row>
    <row r="185" spans="1:5" x14ac:dyDescent="0.25">
      <c r="A185" s="384"/>
    </row>
    <row r="186" spans="1:5" x14ac:dyDescent="0.25">
      <c r="A186" s="384" t="s">
        <v>342</v>
      </c>
      <c r="B186" s="489" t="s">
        <v>775</v>
      </c>
      <c r="C186" s="483">
        <v>2.7699999999999999E-2</v>
      </c>
      <c r="D186" s="490">
        <v>1</v>
      </c>
      <c r="E186">
        <f>IF(C186&lt;2,0,C186)</f>
        <v>0</v>
      </c>
    </row>
    <row r="187" spans="1:5" x14ac:dyDescent="0.25">
      <c r="A187" s="384" t="s">
        <v>342</v>
      </c>
      <c r="B187" s="489" t="s">
        <v>784</v>
      </c>
      <c r="C187" s="483">
        <v>0.15479999999999999</v>
      </c>
      <c r="D187" s="490">
        <v>0.23799999999999999</v>
      </c>
      <c r="E187">
        <f t="shared" ref="E187:E216" si="43">IF(C187&lt;2,0,C187)</f>
        <v>0</v>
      </c>
    </row>
    <row r="188" spans="1:5" x14ac:dyDescent="0.25">
      <c r="A188" s="384" t="s">
        <v>342</v>
      </c>
      <c r="B188" s="489" t="s">
        <v>785</v>
      </c>
      <c r="C188" s="483">
        <v>2.2637999999999998</v>
      </c>
      <c r="D188" s="490">
        <v>4.4000000000000004</v>
      </c>
      <c r="E188">
        <f t="shared" si="43"/>
        <v>2.2637999999999998</v>
      </c>
    </row>
    <row r="189" spans="1:5" x14ac:dyDescent="0.25">
      <c r="A189" s="384" t="s">
        <v>342</v>
      </c>
      <c r="B189" s="489" t="s">
        <v>786</v>
      </c>
      <c r="C189" s="483">
        <v>1.1999999999999999E-3</v>
      </c>
      <c r="D189" s="490">
        <v>6.4999999999999997E-3</v>
      </c>
      <c r="E189">
        <f t="shared" si="43"/>
        <v>0</v>
      </c>
    </row>
    <row r="190" spans="1:5" x14ac:dyDescent="0.25">
      <c r="A190" s="384" t="s">
        <v>342</v>
      </c>
      <c r="B190" s="489" t="s">
        <v>787</v>
      </c>
      <c r="C190" s="483">
        <v>1.8E-3</v>
      </c>
      <c r="D190" s="490">
        <v>3.2500000000000001E-2</v>
      </c>
      <c r="E190">
        <f t="shared" si="43"/>
        <v>0</v>
      </c>
    </row>
    <row r="191" spans="1:5" x14ac:dyDescent="0.25">
      <c r="A191" s="384" t="s">
        <v>342</v>
      </c>
      <c r="B191" s="489" t="s">
        <v>788</v>
      </c>
      <c r="C191" s="483">
        <v>3.5999999999999999E-3</v>
      </c>
      <c r="D191" s="490">
        <v>5.1999999999999998E-3</v>
      </c>
      <c r="E191">
        <f t="shared" si="43"/>
        <v>0</v>
      </c>
    </row>
    <row r="192" spans="1:5" x14ac:dyDescent="0.25">
      <c r="A192" s="384" t="s">
        <v>342</v>
      </c>
      <c r="B192" s="489" t="s">
        <v>789</v>
      </c>
      <c r="C192" s="483">
        <v>1.84E-2</v>
      </c>
      <c r="D192" s="490">
        <v>1.84E-2</v>
      </c>
      <c r="E192">
        <f t="shared" si="43"/>
        <v>0</v>
      </c>
    </row>
    <row r="193" spans="1:5" x14ac:dyDescent="0.25">
      <c r="A193" s="384" t="s">
        <v>342</v>
      </c>
      <c r="B193" s="489" t="s">
        <v>790</v>
      </c>
      <c r="C193" s="483">
        <v>8.2000000000000007E-3</v>
      </c>
      <c r="D193" s="490">
        <v>7.1999999999999998E-3</v>
      </c>
      <c r="E193">
        <f t="shared" si="43"/>
        <v>0</v>
      </c>
    </row>
    <row r="194" spans="1:5" x14ac:dyDescent="0.25">
      <c r="A194" s="384" t="s">
        <v>342</v>
      </c>
      <c r="B194" s="489" t="s">
        <v>791</v>
      </c>
      <c r="C194" s="483">
        <v>8.1299999999999997E-2</v>
      </c>
      <c r="D194" s="490">
        <v>0.37</v>
      </c>
      <c r="E194">
        <f t="shared" si="43"/>
        <v>0</v>
      </c>
    </row>
    <row r="195" spans="1:5" x14ac:dyDescent="0.25">
      <c r="A195" s="384" t="s">
        <v>342</v>
      </c>
      <c r="B195" s="489" t="s">
        <v>792</v>
      </c>
      <c r="C195" s="384">
        <v>2.3E-3</v>
      </c>
      <c r="D195" s="490">
        <v>6.0000000000000001E-3</v>
      </c>
      <c r="E195">
        <f t="shared" si="43"/>
        <v>0</v>
      </c>
    </row>
    <row r="196" spans="1:5" x14ac:dyDescent="0.25">
      <c r="A196" s="384" t="s">
        <v>342</v>
      </c>
      <c r="B196" s="489" t="s">
        <v>793</v>
      </c>
      <c r="C196" s="483">
        <v>1.9E-3</v>
      </c>
      <c r="D196" s="490">
        <v>1.7999999999999999E-2</v>
      </c>
      <c r="E196">
        <f t="shared" si="43"/>
        <v>0</v>
      </c>
    </row>
    <row r="197" spans="1:5" x14ac:dyDescent="0.25">
      <c r="A197" s="384" t="s">
        <v>342</v>
      </c>
      <c r="B197" s="489" t="s">
        <v>794</v>
      </c>
      <c r="C197" s="483">
        <v>3.8E-3</v>
      </c>
      <c r="D197" s="490">
        <v>3.8E-3</v>
      </c>
      <c r="E197">
        <f t="shared" si="43"/>
        <v>0</v>
      </c>
    </row>
    <row r="198" spans="1:5" x14ac:dyDescent="0.25">
      <c r="A198" s="384" t="s">
        <v>342</v>
      </c>
      <c r="B198" s="489" t="s">
        <v>795</v>
      </c>
      <c r="C198" s="483">
        <v>5.3E-3</v>
      </c>
      <c r="D198" s="490">
        <v>0.01</v>
      </c>
      <c r="E198">
        <f t="shared" si="43"/>
        <v>0</v>
      </c>
    </row>
    <row r="199" spans="1:5" x14ac:dyDescent="0.25">
      <c r="A199" s="384" t="s">
        <v>342</v>
      </c>
      <c r="B199" s="489" t="s">
        <v>796</v>
      </c>
      <c r="C199" s="483">
        <v>1.35E-2</v>
      </c>
      <c r="D199" s="490">
        <v>2.5000000000000001E-2</v>
      </c>
      <c r="E199">
        <f t="shared" si="43"/>
        <v>0</v>
      </c>
    </row>
    <row r="200" spans="1:5" x14ac:dyDescent="0.25">
      <c r="A200" s="384" t="s">
        <v>342</v>
      </c>
      <c r="B200" s="489" t="s">
        <v>797</v>
      </c>
      <c r="C200" s="483">
        <v>7.1000000000000004E-3</v>
      </c>
      <c r="D200" s="490">
        <v>0.04</v>
      </c>
      <c r="E200">
        <f t="shared" si="43"/>
        <v>0</v>
      </c>
    </row>
    <row r="201" spans="1:5" x14ac:dyDescent="0.25">
      <c r="A201" s="384" t="s">
        <v>342</v>
      </c>
      <c r="B201" s="489" t="s">
        <v>798</v>
      </c>
      <c r="C201" s="483">
        <v>4.0000000000000001E-3</v>
      </c>
      <c r="D201" s="490">
        <v>4.0000000000000001E-3</v>
      </c>
      <c r="E201">
        <f t="shared" si="43"/>
        <v>0</v>
      </c>
    </row>
    <row r="202" spans="1:5" x14ac:dyDescent="0.25">
      <c r="A202" s="384" t="s">
        <v>342</v>
      </c>
      <c r="B202" s="489" t="s">
        <v>799</v>
      </c>
      <c r="C202" s="483">
        <v>2.3841999999999999</v>
      </c>
      <c r="D202" s="490">
        <v>5.4</v>
      </c>
      <c r="E202">
        <f t="shared" si="43"/>
        <v>2.3841999999999999</v>
      </c>
    </row>
    <row r="203" spans="1:5" x14ac:dyDescent="0.25">
      <c r="A203" s="384" t="s">
        <v>342</v>
      </c>
      <c r="B203" s="489" t="s">
        <v>800</v>
      </c>
      <c r="C203" s="483">
        <v>5.2066999999999997</v>
      </c>
      <c r="D203" s="490">
        <v>8.8000000000000007</v>
      </c>
      <c r="E203">
        <f t="shared" si="43"/>
        <v>5.2066999999999997</v>
      </c>
    </row>
    <row r="204" spans="1:5" x14ac:dyDescent="0.25">
      <c r="A204" s="384" t="s">
        <v>342</v>
      </c>
      <c r="B204" s="489" t="s">
        <v>801</v>
      </c>
      <c r="C204" s="483">
        <v>2E-3</v>
      </c>
      <c r="D204" s="490">
        <v>2E-3</v>
      </c>
      <c r="E204">
        <f t="shared" si="43"/>
        <v>0</v>
      </c>
    </row>
    <row r="205" spans="1:5" x14ac:dyDescent="0.25">
      <c r="A205" s="384" t="s">
        <v>342</v>
      </c>
      <c r="B205" s="489" t="s">
        <v>802</v>
      </c>
      <c r="C205" s="483">
        <v>5.1700000000000003E-2</v>
      </c>
      <c r="D205" s="490">
        <v>0.189</v>
      </c>
      <c r="E205">
        <f t="shared" si="43"/>
        <v>0</v>
      </c>
    </row>
    <row r="206" spans="1:5" x14ac:dyDescent="0.25">
      <c r="A206" s="384" t="s">
        <v>342</v>
      </c>
      <c r="B206" s="489" t="s">
        <v>803</v>
      </c>
      <c r="C206" s="483">
        <v>7.29</v>
      </c>
      <c r="D206" s="490">
        <v>10.8</v>
      </c>
      <c r="E206">
        <f t="shared" si="43"/>
        <v>7.29</v>
      </c>
    </row>
    <row r="207" spans="1:5" x14ac:dyDescent="0.25">
      <c r="A207" s="384" t="s">
        <v>342</v>
      </c>
      <c r="B207" s="489" t="s">
        <v>804</v>
      </c>
      <c r="C207" s="483">
        <v>2.0999999999999999E-3</v>
      </c>
      <c r="D207" s="490">
        <v>5.1999999999999998E-3</v>
      </c>
      <c r="E207">
        <f t="shared" si="43"/>
        <v>0</v>
      </c>
    </row>
    <row r="208" spans="1:5" x14ac:dyDescent="0.25">
      <c r="A208" s="384" t="s">
        <v>342</v>
      </c>
      <c r="B208" s="489" t="s">
        <v>716</v>
      </c>
      <c r="C208" s="483">
        <v>3.5000000000000001E-3</v>
      </c>
      <c r="D208" s="490">
        <v>3.5000000000000001E-3</v>
      </c>
      <c r="E208">
        <f t="shared" si="43"/>
        <v>0</v>
      </c>
    </row>
    <row r="209" spans="1:5" x14ac:dyDescent="0.25">
      <c r="A209" s="384" t="s">
        <v>342</v>
      </c>
      <c r="B209" s="489" t="s">
        <v>805</v>
      </c>
      <c r="C209" s="483">
        <v>9.5</v>
      </c>
      <c r="D209" s="490">
        <v>13.83</v>
      </c>
      <c r="E209">
        <f t="shared" si="43"/>
        <v>9.5</v>
      </c>
    </row>
    <row r="210" spans="1:5" x14ac:dyDescent="0.25">
      <c r="A210" s="384" t="s">
        <v>342</v>
      </c>
      <c r="B210" s="489" t="s">
        <v>806</v>
      </c>
      <c r="C210" s="483">
        <v>4.9865000000000004</v>
      </c>
      <c r="D210" s="490">
        <v>8.5</v>
      </c>
      <c r="E210">
        <f t="shared" si="43"/>
        <v>4.9865000000000004</v>
      </c>
    </row>
    <row r="211" spans="1:5" x14ac:dyDescent="0.25">
      <c r="A211" s="384" t="s">
        <v>342</v>
      </c>
      <c r="B211" s="489" t="s">
        <v>807</v>
      </c>
      <c r="C211" s="483">
        <v>4.6814999999999998</v>
      </c>
      <c r="D211" s="490">
        <v>7.5</v>
      </c>
      <c r="E211">
        <f t="shared" si="43"/>
        <v>4.6814999999999998</v>
      </c>
    </row>
    <row r="212" spans="1:5" x14ac:dyDescent="0.25">
      <c r="A212" s="384" t="s">
        <v>342</v>
      </c>
      <c r="B212" s="489" t="s">
        <v>808</v>
      </c>
      <c r="C212" s="483">
        <v>0.1048</v>
      </c>
      <c r="D212" s="490">
        <v>0.25</v>
      </c>
      <c r="E212">
        <f t="shared" si="43"/>
        <v>0</v>
      </c>
    </row>
    <row r="213" spans="1:5" x14ac:dyDescent="0.25">
      <c r="A213" s="384" t="s">
        <v>342</v>
      </c>
      <c r="B213" s="489" t="s">
        <v>809</v>
      </c>
      <c r="C213" s="483">
        <v>7.8051000000000004</v>
      </c>
      <c r="D213" s="490">
        <v>16</v>
      </c>
      <c r="E213">
        <f t="shared" si="43"/>
        <v>7.8051000000000004</v>
      </c>
    </row>
    <row r="214" spans="1:5" x14ac:dyDescent="0.25">
      <c r="A214" s="384" t="s">
        <v>342</v>
      </c>
      <c r="B214" s="489" t="s">
        <v>810</v>
      </c>
      <c r="C214" s="483">
        <v>6.2199999999999998E-2</v>
      </c>
      <c r="D214" s="490">
        <v>0.1037</v>
      </c>
      <c r="E214">
        <f t="shared" si="43"/>
        <v>0</v>
      </c>
    </row>
    <row r="215" spans="1:5" x14ac:dyDescent="0.25">
      <c r="A215" s="384" t="s">
        <v>342</v>
      </c>
      <c r="B215" s="489" t="s">
        <v>811</v>
      </c>
      <c r="C215" s="483">
        <v>5.36</v>
      </c>
      <c r="D215" s="490">
        <v>9.1</v>
      </c>
      <c r="E215">
        <f t="shared" si="43"/>
        <v>5.36</v>
      </c>
    </row>
    <row r="216" spans="1:5" x14ac:dyDescent="0.25">
      <c r="A216" s="384" t="s">
        <v>342</v>
      </c>
      <c r="B216" s="489" t="s">
        <v>812</v>
      </c>
      <c r="C216" s="483">
        <v>1.5E-3</v>
      </c>
      <c r="D216" s="490">
        <v>5.8999999999999999E-3</v>
      </c>
      <c r="E216">
        <f t="shared" si="43"/>
        <v>0</v>
      </c>
    </row>
    <row r="217" spans="1:5" x14ac:dyDescent="0.25">
      <c r="A217" s="484" t="s">
        <v>409</v>
      </c>
      <c r="B217" s="484"/>
      <c r="C217" s="485">
        <f>SUM(C186:C216)</f>
        <v>50.040499999999994</v>
      </c>
      <c r="D217" s="485">
        <f t="shared" ref="D217:E217" si="44">SUM(D186:D216)</f>
        <v>86.673899999999989</v>
      </c>
      <c r="E217" s="485">
        <f t="shared" si="44"/>
        <v>49.477800000000002</v>
      </c>
    </row>
    <row r="219" spans="1:5" x14ac:dyDescent="0.25">
      <c r="A219" s="384" t="s">
        <v>343</v>
      </c>
      <c r="B219" s="489" t="s">
        <v>813</v>
      </c>
      <c r="C219" s="483">
        <v>5.0000000000000001E-4</v>
      </c>
      <c r="D219" s="490">
        <v>2.5000000000000001E-3</v>
      </c>
      <c r="E219">
        <f>IF(C219&lt;2,0,C219)</f>
        <v>0</v>
      </c>
    </row>
    <row r="220" spans="1:5" x14ac:dyDescent="0.25">
      <c r="A220" s="384" t="s">
        <v>343</v>
      </c>
      <c r="B220" s="489" t="s">
        <v>814</v>
      </c>
      <c r="C220" s="483">
        <v>3.2000000000000002E-3</v>
      </c>
      <c r="D220" s="490">
        <v>1.0999999999999999E-2</v>
      </c>
      <c r="E220">
        <f t="shared" ref="E220:E270" si="45">IF(C220&lt;2,0,C220)</f>
        <v>0</v>
      </c>
    </row>
    <row r="221" spans="1:5" x14ac:dyDescent="0.25">
      <c r="A221" s="384" t="s">
        <v>343</v>
      </c>
      <c r="B221" s="489" t="s">
        <v>815</v>
      </c>
      <c r="C221" s="483">
        <v>2.4645000000000001</v>
      </c>
      <c r="D221" s="490">
        <v>3.5</v>
      </c>
      <c r="E221">
        <f t="shared" si="45"/>
        <v>2.4645000000000001</v>
      </c>
    </row>
    <row r="222" spans="1:5" x14ac:dyDescent="0.25">
      <c r="A222" s="384" t="s">
        <v>343</v>
      </c>
      <c r="B222" s="489" t="s">
        <v>816</v>
      </c>
      <c r="C222" s="483">
        <v>1.6299999999999999E-2</v>
      </c>
      <c r="D222" s="490">
        <v>0.03</v>
      </c>
      <c r="E222">
        <f t="shared" si="45"/>
        <v>0</v>
      </c>
    </row>
    <row r="223" spans="1:5" x14ac:dyDescent="0.25">
      <c r="A223" s="384" t="s">
        <v>343</v>
      </c>
      <c r="B223" s="489" t="s">
        <v>817</v>
      </c>
      <c r="C223" s="483">
        <v>0.74060000000000004</v>
      </c>
      <c r="D223" s="490">
        <v>0.875</v>
      </c>
      <c r="E223">
        <f t="shared" si="45"/>
        <v>0</v>
      </c>
    </row>
    <row r="224" spans="1:5" x14ac:dyDescent="0.25">
      <c r="A224" s="384" t="s">
        <v>343</v>
      </c>
      <c r="B224" s="489" t="s">
        <v>818</v>
      </c>
      <c r="C224" s="483">
        <v>0.1208</v>
      </c>
      <c r="D224" s="490">
        <v>0.155</v>
      </c>
      <c r="E224">
        <f t="shared" si="45"/>
        <v>0</v>
      </c>
    </row>
    <row r="225" spans="1:5" x14ac:dyDescent="0.25">
      <c r="A225" s="384" t="s">
        <v>343</v>
      </c>
      <c r="B225" s="489" t="s">
        <v>819</v>
      </c>
      <c r="C225" s="483">
        <v>5.8999999999999999E-3</v>
      </c>
      <c r="D225" s="490">
        <v>1.0999999999999999E-2</v>
      </c>
      <c r="E225">
        <f t="shared" si="45"/>
        <v>0</v>
      </c>
    </row>
    <row r="226" spans="1:5" x14ac:dyDescent="0.25">
      <c r="A226" s="384" t="s">
        <v>343</v>
      </c>
      <c r="B226" s="489" t="s">
        <v>820</v>
      </c>
      <c r="C226" s="483">
        <v>9.0700000000000003E-2</v>
      </c>
      <c r="D226" s="490">
        <v>7.4999999999999997E-2</v>
      </c>
      <c r="E226">
        <f t="shared" si="45"/>
        <v>0</v>
      </c>
    </row>
    <row r="227" spans="1:5" x14ac:dyDescent="0.25">
      <c r="A227" s="384" t="s">
        <v>343</v>
      </c>
      <c r="B227" s="489" t="s">
        <v>821</v>
      </c>
      <c r="C227" s="483">
        <v>1.9E-2</v>
      </c>
      <c r="D227" s="490">
        <v>0.03</v>
      </c>
      <c r="E227">
        <f t="shared" si="45"/>
        <v>0</v>
      </c>
    </row>
    <row r="228" spans="1:5" x14ac:dyDescent="0.25">
      <c r="A228" s="384" t="s">
        <v>343</v>
      </c>
      <c r="B228" s="489" t="s">
        <v>822</v>
      </c>
      <c r="C228" s="483">
        <v>1.67E-2</v>
      </c>
      <c r="D228" s="490">
        <v>2.9100000000000001E-2</v>
      </c>
      <c r="E228">
        <f t="shared" si="45"/>
        <v>0</v>
      </c>
    </row>
    <row r="229" spans="1:5" x14ac:dyDescent="0.25">
      <c r="A229" s="384" t="s">
        <v>343</v>
      </c>
      <c r="B229" s="489" t="s">
        <v>823</v>
      </c>
      <c r="C229" s="483">
        <v>2.9999999999999997E-4</v>
      </c>
      <c r="D229" s="490">
        <v>7.6E-3</v>
      </c>
      <c r="E229">
        <f t="shared" si="45"/>
        <v>0</v>
      </c>
    </row>
    <row r="230" spans="1:5" x14ac:dyDescent="0.25">
      <c r="A230" s="384" t="s">
        <v>343</v>
      </c>
      <c r="B230" s="489" t="s">
        <v>824</v>
      </c>
      <c r="C230" s="483">
        <v>7.0000000000000001E-3</v>
      </c>
      <c r="D230" s="490">
        <v>1.7000000000000001E-2</v>
      </c>
      <c r="E230">
        <f t="shared" si="45"/>
        <v>0</v>
      </c>
    </row>
    <row r="231" spans="1:5" x14ac:dyDescent="0.25">
      <c r="A231" s="384" t="s">
        <v>343</v>
      </c>
      <c r="B231" s="489" t="s">
        <v>825</v>
      </c>
      <c r="C231" s="483">
        <v>6.9199999999999998E-2</v>
      </c>
      <c r="D231" s="490">
        <v>0.28999999999999998</v>
      </c>
      <c r="E231">
        <f t="shared" si="45"/>
        <v>0</v>
      </c>
    </row>
    <row r="232" spans="1:5" x14ac:dyDescent="0.25">
      <c r="A232" s="384" t="s">
        <v>343</v>
      </c>
      <c r="B232" s="489" t="s">
        <v>826</v>
      </c>
      <c r="C232" s="483">
        <v>0.86739999999999995</v>
      </c>
      <c r="D232" s="490">
        <v>1.4</v>
      </c>
      <c r="E232">
        <f t="shared" si="45"/>
        <v>0</v>
      </c>
    </row>
    <row r="233" spans="1:5" x14ac:dyDescent="0.25">
      <c r="A233" s="384" t="s">
        <v>343</v>
      </c>
      <c r="B233" s="489" t="s">
        <v>827</v>
      </c>
      <c r="C233" s="483">
        <v>2.02</v>
      </c>
      <c r="D233" s="490">
        <v>4.6100000000000003</v>
      </c>
      <c r="E233">
        <f t="shared" si="45"/>
        <v>2.02</v>
      </c>
    </row>
    <row r="234" spans="1:5" x14ac:dyDescent="0.25">
      <c r="A234" s="384" t="s">
        <v>343</v>
      </c>
      <c r="B234" s="489" t="s">
        <v>828</v>
      </c>
      <c r="C234" s="483">
        <v>2.9592999999999998</v>
      </c>
      <c r="D234" s="490">
        <v>4.8</v>
      </c>
      <c r="E234">
        <f t="shared" si="45"/>
        <v>2.9592999999999998</v>
      </c>
    </row>
    <row r="235" spans="1:5" x14ac:dyDescent="0.25">
      <c r="A235" s="384" t="s">
        <v>343</v>
      </c>
      <c r="B235" s="489" t="s">
        <v>829</v>
      </c>
      <c r="C235" s="483">
        <v>5.79E-2</v>
      </c>
      <c r="D235" s="490">
        <v>0.12509999999999999</v>
      </c>
      <c r="E235">
        <f t="shared" si="45"/>
        <v>0</v>
      </c>
    </row>
    <row r="236" spans="1:5" x14ac:dyDescent="0.25">
      <c r="A236" s="384" t="s">
        <v>343</v>
      </c>
      <c r="B236" s="489" t="s">
        <v>830</v>
      </c>
      <c r="C236" s="483">
        <v>6.7000000000000002E-3</v>
      </c>
      <c r="D236" s="490">
        <v>0.01</v>
      </c>
      <c r="E236">
        <f t="shared" si="45"/>
        <v>0</v>
      </c>
    </row>
    <row r="237" spans="1:5" x14ac:dyDescent="0.25">
      <c r="A237" s="384" t="s">
        <v>343</v>
      </c>
      <c r="B237" s="489" t="s">
        <v>831</v>
      </c>
      <c r="C237" s="483">
        <v>3.0999999999999999E-3</v>
      </c>
      <c r="D237" s="490">
        <v>1.6400000000000001E-2</v>
      </c>
      <c r="E237">
        <f t="shared" si="45"/>
        <v>0</v>
      </c>
    </row>
    <row r="238" spans="1:5" x14ac:dyDescent="0.25">
      <c r="A238" s="384" t="s">
        <v>343</v>
      </c>
      <c r="B238" s="489" t="s">
        <v>832</v>
      </c>
      <c r="C238" s="483">
        <v>4.0000000000000002E-4</v>
      </c>
      <c r="D238" s="490">
        <v>3.5000000000000001E-3</v>
      </c>
      <c r="E238">
        <f t="shared" si="45"/>
        <v>0</v>
      </c>
    </row>
    <row r="239" spans="1:5" x14ac:dyDescent="0.25">
      <c r="A239" s="384" t="s">
        <v>343</v>
      </c>
      <c r="B239" s="489" t="s">
        <v>833</v>
      </c>
      <c r="C239" s="483">
        <v>1.6E-2</v>
      </c>
      <c r="D239" s="490">
        <v>2.75E-2</v>
      </c>
      <c r="E239">
        <f t="shared" si="45"/>
        <v>0</v>
      </c>
    </row>
    <row r="240" spans="1:5" x14ac:dyDescent="0.25">
      <c r="A240" s="384" t="s">
        <v>343</v>
      </c>
      <c r="B240" s="489" t="s">
        <v>834</v>
      </c>
      <c r="C240" s="483">
        <v>1.6999999999999999E-3</v>
      </c>
      <c r="D240" s="490">
        <v>7.1000000000000004E-3</v>
      </c>
      <c r="E240">
        <f t="shared" si="45"/>
        <v>0</v>
      </c>
    </row>
    <row r="241" spans="1:5" x14ac:dyDescent="0.25">
      <c r="A241" s="384" t="s">
        <v>343</v>
      </c>
      <c r="B241" s="489" t="s">
        <v>835</v>
      </c>
      <c r="C241" s="483">
        <v>9.6799999999999997E-2</v>
      </c>
      <c r="D241" s="490">
        <v>0.1295</v>
      </c>
      <c r="E241">
        <f t="shared" si="45"/>
        <v>0</v>
      </c>
    </row>
    <row r="242" spans="1:5" x14ac:dyDescent="0.25">
      <c r="A242" s="384" t="s">
        <v>343</v>
      </c>
      <c r="B242" s="489" t="s">
        <v>836</v>
      </c>
      <c r="C242" s="483">
        <v>2.7000000000000001E-3</v>
      </c>
      <c r="D242" s="490">
        <v>7.4999999999999997E-3</v>
      </c>
      <c r="E242">
        <f t="shared" si="45"/>
        <v>0</v>
      </c>
    </row>
    <row r="243" spans="1:5" x14ac:dyDescent="0.25">
      <c r="A243" s="384" t="s">
        <v>343</v>
      </c>
      <c r="B243" s="489" t="s">
        <v>837</v>
      </c>
      <c r="C243" s="483">
        <v>2.0299999999999999E-2</v>
      </c>
      <c r="D243" s="490">
        <v>3.32E-2</v>
      </c>
      <c r="E243">
        <f t="shared" si="45"/>
        <v>0</v>
      </c>
    </row>
    <row r="244" spans="1:5" x14ac:dyDescent="0.25">
      <c r="A244" s="384" t="s">
        <v>343</v>
      </c>
      <c r="B244" s="489" t="s">
        <v>838</v>
      </c>
      <c r="C244" s="483">
        <v>6.0499999999999998E-2</v>
      </c>
      <c r="D244" s="490">
        <v>7.0699999999999999E-2</v>
      </c>
      <c r="E244">
        <f t="shared" si="45"/>
        <v>0</v>
      </c>
    </row>
    <row r="245" spans="1:5" x14ac:dyDescent="0.25">
      <c r="A245" s="384" t="s">
        <v>343</v>
      </c>
      <c r="B245" s="489" t="s">
        <v>839</v>
      </c>
      <c r="C245" s="483">
        <v>1.6000000000000001E-3</v>
      </c>
      <c r="D245" s="490">
        <v>2E-3</v>
      </c>
      <c r="E245">
        <f t="shared" si="45"/>
        <v>0</v>
      </c>
    </row>
    <row r="246" spans="1:5" x14ac:dyDescent="0.25">
      <c r="A246" s="384" t="s">
        <v>343</v>
      </c>
      <c r="B246" s="489" t="s">
        <v>840</v>
      </c>
      <c r="C246" s="483">
        <v>7.9000000000000008E-3</v>
      </c>
      <c r="D246" s="490">
        <v>0.01</v>
      </c>
      <c r="E246">
        <f t="shared" si="45"/>
        <v>0</v>
      </c>
    </row>
    <row r="247" spans="1:5" x14ac:dyDescent="0.25">
      <c r="A247" s="384" t="s">
        <v>343</v>
      </c>
      <c r="B247" s="489" t="s">
        <v>841</v>
      </c>
      <c r="C247" s="483">
        <v>3.2000000000000002E-3</v>
      </c>
      <c r="D247" s="490">
        <v>1.1599999999999999E-2</v>
      </c>
      <c r="E247">
        <f t="shared" si="45"/>
        <v>0</v>
      </c>
    </row>
    <row r="248" spans="1:5" x14ac:dyDescent="0.25">
      <c r="A248" s="384" t="s">
        <v>343</v>
      </c>
      <c r="B248" s="489" t="s">
        <v>842</v>
      </c>
      <c r="C248" s="483">
        <v>5.6970000000000001</v>
      </c>
      <c r="D248" s="490">
        <v>9.6389999999999993</v>
      </c>
      <c r="E248">
        <f t="shared" si="45"/>
        <v>5.6970000000000001</v>
      </c>
    </row>
    <row r="249" spans="1:5" x14ac:dyDescent="0.25">
      <c r="A249" s="384" t="s">
        <v>343</v>
      </c>
      <c r="B249" s="489" t="s">
        <v>843</v>
      </c>
      <c r="C249" s="483">
        <v>1.9300000000000001E-2</v>
      </c>
      <c r="D249" s="490">
        <v>2.1999999999999999E-2</v>
      </c>
      <c r="E249">
        <f t="shared" si="45"/>
        <v>0</v>
      </c>
    </row>
    <row r="250" spans="1:5" x14ac:dyDescent="0.25">
      <c r="A250" s="384" t="s">
        <v>343</v>
      </c>
      <c r="B250" s="489" t="s">
        <v>844</v>
      </c>
      <c r="C250" s="483">
        <v>0.32279999999999998</v>
      </c>
      <c r="D250" s="490">
        <v>0.45</v>
      </c>
      <c r="E250">
        <f t="shared" si="45"/>
        <v>0</v>
      </c>
    </row>
    <row r="251" spans="1:5" x14ac:dyDescent="0.25">
      <c r="A251" s="384" t="s">
        <v>343</v>
      </c>
      <c r="B251" s="489" t="s">
        <v>845</v>
      </c>
      <c r="C251" s="483">
        <v>1.8160000000000001</v>
      </c>
      <c r="D251" s="490">
        <v>3.3</v>
      </c>
      <c r="E251">
        <f t="shared" si="45"/>
        <v>0</v>
      </c>
    </row>
    <row r="252" spans="1:5" x14ac:dyDescent="0.25">
      <c r="A252" s="384" t="s">
        <v>343</v>
      </c>
      <c r="B252" s="489" t="s">
        <v>846</v>
      </c>
      <c r="C252" s="483">
        <v>0.98040000000000005</v>
      </c>
      <c r="D252" s="490">
        <v>2</v>
      </c>
      <c r="E252">
        <f t="shared" si="45"/>
        <v>0</v>
      </c>
    </row>
    <row r="253" spans="1:5" x14ac:dyDescent="0.25">
      <c r="A253" s="384" t="s">
        <v>343</v>
      </c>
      <c r="B253" s="489" t="s">
        <v>847</v>
      </c>
      <c r="C253" s="483">
        <v>0.11559999999999999</v>
      </c>
      <c r="D253" s="490">
        <v>0.20419999999999999</v>
      </c>
      <c r="E253">
        <f t="shared" si="45"/>
        <v>0</v>
      </c>
    </row>
    <row r="254" spans="1:5" x14ac:dyDescent="0.25">
      <c r="A254" s="384" t="s">
        <v>343</v>
      </c>
      <c r="B254" s="489" t="s">
        <v>848</v>
      </c>
      <c r="C254" s="483">
        <v>9.4000000000000004E-3</v>
      </c>
      <c r="D254" s="490">
        <v>0.03</v>
      </c>
      <c r="E254">
        <f t="shared" si="45"/>
        <v>0</v>
      </c>
    </row>
    <row r="255" spans="1:5" x14ac:dyDescent="0.25">
      <c r="A255" s="384" t="s">
        <v>343</v>
      </c>
      <c r="B255" s="489" t="s">
        <v>849</v>
      </c>
      <c r="C255" s="483">
        <v>0.3155</v>
      </c>
      <c r="D255" s="490">
        <v>0.5</v>
      </c>
      <c r="E255">
        <f t="shared" si="45"/>
        <v>0</v>
      </c>
    </row>
    <row r="256" spans="1:5" x14ac:dyDescent="0.25">
      <c r="A256" s="384" t="s">
        <v>343</v>
      </c>
      <c r="B256" s="489" t="s">
        <v>850</v>
      </c>
      <c r="C256" s="483">
        <v>2.4498000000000002</v>
      </c>
      <c r="D256" s="490">
        <v>4.3099999999999996</v>
      </c>
      <c r="E256">
        <f t="shared" si="45"/>
        <v>2.4498000000000002</v>
      </c>
    </row>
    <row r="257" spans="1:5" x14ac:dyDescent="0.25">
      <c r="A257" s="384" t="s">
        <v>343</v>
      </c>
      <c r="B257" s="489" t="s">
        <v>982</v>
      </c>
      <c r="C257" s="483">
        <v>0.16470000000000001</v>
      </c>
      <c r="D257" s="490">
        <v>0.17499999999999999</v>
      </c>
      <c r="E257">
        <f t="shared" si="45"/>
        <v>0</v>
      </c>
    </row>
    <row r="258" spans="1:5" x14ac:dyDescent="0.25">
      <c r="A258" s="384" t="s">
        <v>343</v>
      </c>
      <c r="B258" s="489" t="s">
        <v>851</v>
      </c>
      <c r="C258" s="483">
        <v>0.23319999999999999</v>
      </c>
      <c r="D258" s="490">
        <v>0.33</v>
      </c>
      <c r="E258">
        <f t="shared" si="45"/>
        <v>0</v>
      </c>
    </row>
    <row r="259" spans="1:5" x14ac:dyDescent="0.25">
      <c r="A259" s="384" t="s">
        <v>343</v>
      </c>
      <c r="B259" s="489" t="s">
        <v>852</v>
      </c>
      <c r="C259" s="483">
        <v>2.87E-2</v>
      </c>
      <c r="D259" s="490">
        <v>5.04E-2</v>
      </c>
      <c r="E259">
        <f t="shared" si="45"/>
        <v>0</v>
      </c>
    </row>
    <row r="260" spans="1:5" x14ac:dyDescent="0.25">
      <c r="A260" s="384" t="s">
        <v>343</v>
      </c>
      <c r="B260" s="489" t="s">
        <v>853</v>
      </c>
      <c r="C260" s="483">
        <v>10.9133</v>
      </c>
      <c r="D260" s="490">
        <v>12</v>
      </c>
      <c r="E260">
        <f t="shared" si="45"/>
        <v>10.9133</v>
      </c>
    </row>
    <row r="261" spans="1:5" x14ac:dyDescent="0.25">
      <c r="A261" s="384" t="s">
        <v>343</v>
      </c>
      <c r="B261" s="489" t="s">
        <v>854</v>
      </c>
      <c r="C261" s="483">
        <v>12.6175</v>
      </c>
      <c r="D261" s="490">
        <v>16</v>
      </c>
      <c r="E261">
        <f t="shared" si="45"/>
        <v>12.6175</v>
      </c>
    </row>
    <row r="262" spans="1:5" x14ac:dyDescent="0.25">
      <c r="A262" s="384" t="s">
        <v>343</v>
      </c>
      <c r="B262" s="489" t="s">
        <v>855</v>
      </c>
      <c r="C262" s="483">
        <v>0.11899999999999999</v>
      </c>
      <c r="D262" s="490">
        <v>0.4</v>
      </c>
      <c r="E262">
        <f t="shared" si="45"/>
        <v>0</v>
      </c>
    </row>
    <row r="263" spans="1:5" x14ac:dyDescent="0.25">
      <c r="A263" s="384" t="s">
        <v>343</v>
      </c>
      <c r="B263" s="489" t="s">
        <v>856</v>
      </c>
      <c r="C263" s="483">
        <v>1.0278</v>
      </c>
      <c r="D263" s="490">
        <v>0.9</v>
      </c>
      <c r="E263">
        <f t="shared" si="45"/>
        <v>0</v>
      </c>
    </row>
    <row r="264" spans="1:5" x14ac:dyDescent="0.25">
      <c r="A264" s="384" t="s">
        <v>343</v>
      </c>
      <c r="B264" s="489" t="s">
        <v>857</v>
      </c>
      <c r="C264" s="483">
        <v>3.7000000000000002E-3</v>
      </c>
      <c r="D264" s="490">
        <v>1.9900000000000001E-2</v>
      </c>
      <c r="E264">
        <f t="shared" si="45"/>
        <v>0</v>
      </c>
    </row>
    <row r="265" spans="1:5" x14ac:dyDescent="0.25">
      <c r="A265" s="384" t="s">
        <v>343</v>
      </c>
      <c r="B265" s="489" t="s">
        <v>858</v>
      </c>
      <c r="C265" s="483">
        <v>1E-4</v>
      </c>
      <c r="D265" s="490">
        <v>7.0000000000000001E-3</v>
      </c>
      <c r="E265">
        <f t="shared" si="45"/>
        <v>0</v>
      </c>
    </row>
    <row r="266" spans="1:5" x14ac:dyDescent="0.25">
      <c r="A266" s="384" t="s">
        <v>343</v>
      </c>
      <c r="B266" s="489" t="s">
        <v>859</v>
      </c>
      <c r="C266" s="483">
        <v>1.7101</v>
      </c>
      <c r="D266" s="490">
        <v>2</v>
      </c>
      <c r="E266">
        <f t="shared" si="45"/>
        <v>0</v>
      </c>
    </row>
    <row r="267" spans="1:5" x14ac:dyDescent="0.25">
      <c r="A267" s="384" t="s">
        <v>343</v>
      </c>
      <c r="B267" s="489" t="s">
        <v>860</v>
      </c>
      <c r="C267" s="483">
        <v>8.3000000000000001E-3</v>
      </c>
      <c r="D267" s="490">
        <v>0.04</v>
      </c>
      <c r="E267">
        <f t="shared" si="45"/>
        <v>0</v>
      </c>
    </row>
    <row r="268" spans="1:5" x14ac:dyDescent="0.25">
      <c r="A268" s="384" t="s">
        <v>343</v>
      </c>
      <c r="B268" s="489" t="s">
        <v>861</v>
      </c>
      <c r="C268" s="483">
        <v>2.3153999999999999</v>
      </c>
      <c r="D268" s="490">
        <v>3.39</v>
      </c>
      <c r="E268">
        <f t="shared" si="45"/>
        <v>2.3153999999999999</v>
      </c>
    </row>
    <row r="269" spans="1:5" x14ac:dyDescent="0.25">
      <c r="A269" s="384" t="s">
        <v>343</v>
      </c>
      <c r="B269" s="489" t="s">
        <v>862</v>
      </c>
      <c r="C269" s="483">
        <v>0.41920000000000002</v>
      </c>
      <c r="D269" s="490">
        <v>0.5</v>
      </c>
      <c r="E269">
        <f t="shared" si="45"/>
        <v>0</v>
      </c>
    </row>
    <row r="270" spans="1:5" x14ac:dyDescent="0.25">
      <c r="A270" s="384" t="s">
        <v>343</v>
      </c>
      <c r="B270" s="489" t="s">
        <v>863</v>
      </c>
      <c r="C270" s="483">
        <v>0.115</v>
      </c>
      <c r="D270" s="490">
        <v>0.24399999999999999</v>
      </c>
      <c r="E270">
        <f t="shared" si="45"/>
        <v>0</v>
      </c>
    </row>
    <row r="271" spans="1:5" x14ac:dyDescent="0.25">
      <c r="A271" s="484" t="s">
        <v>409</v>
      </c>
      <c r="B271" s="484"/>
      <c r="C271" s="485">
        <f>SUM(C219:C270)</f>
        <v>51.081999999999987</v>
      </c>
      <c r="D271" s="485">
        <f>SUM(D219:D270)</f>
        <v>72.808800000000048</v>
      </c>
      <c r="E271" s="485">
        <f>SUM(E219:E270)</f>
        <v>41.436799999999998</v>
      </c>
    </row>
    <row r="272" spans="1:5" x14ac:dyDescent="0.25">
      <c r="A272" s="384"/>
    </row>
    <row r="273" spans="1:5" x14ac:dyDescent="0.25">
      <c r="A273" s="384" t="s">
        <v>344</v>
      </c>
      <c r="B273" s="489" t="s">
        <v>864</v>
      </c>
      <c r="C273" s="483">
        <v>21.015000000000001</v>
      </c>
      <c r="D273" s="490">
        <v>32</v>
      </c>
      <c r="E273">
        <f>IF(C273&lt;2,0,C273)</f>
        <v>21.015000000000001</v>
      </c>
    </row>
    <row r="274" spans="1:5" x14ac:dyDescent="0.25">
      <c r="A274" s="384" t="s">
        <v>344</v>
      </c>
      <c r="B274" s="489" t="s">
        <v>865</v>
      </c>
      <c r="C274" s="483">
        <v>22.225000000000001</v>
      </c>
      <c r="D274" s="490">
        <v>32</v>
      </c>
      <c r="E274">
        <f t="shared" ref="E274:E280" si="46">IF(C274&lt;2,0,C274)</f>
        <v>22.225000000000001</v>
      </c>
    </row>
    <row r="275" spans="1:5" x14ac:dyDescent="0.25">
      <c r="A275" s="384" t="s">
        <v>344</v>
      </c>
      <c r="B275" s="489" t="s">
        <v>866</v>
      </c>
      <c r="C275" s="483">
        <v>6.1999999999999998E-3</v>
      </c>
      <c r="D275" s="490">
        <v>1.7000000000000001E-2</v>
      </c>
      <c r="E275">
        <f t="shared" si="46"/>
        <v>0</v>
      </c>
    </row>
    <row r="276" spans="1:5" x14ac:dyDescent="0.25">
      <c r="A276" s="384" t="s">
        <v>344</v>
      </c>
      <c r="B276" s="489" t="s">
        <v>867</v>
      </c>
      <c r="C276" s="483">
        <v>3.2899999999999999E-2</v>
      </c>
      <c r="D276" s="490">
        <v>4.4999999999999998E-2</v>
      </c>
      <c r="E276">
        <f t="shared" si="46"/>
        <v>0</v>
      </c>
    </row>
    <row r="277" spans="1:5" x14ac:dyDescent="0.25">
      <c r="A277" s="384" t="s">
        <v>344</v>
      </c>
      <c r="B277" s="489" t="s">
        <v>868</v>
      </c>
      <c r="C277" s="483">
        <v>1.61E-2</v>
      </c>
      <c r="D277" s="490">
        <v>3.5000000000000003E-2</v>
      </c>
      <c r="E277">
        <f t="shared" si="46"/>
        <v>0</v>
      </c>
    </row>
    <row r="278" spans="1:5" x14ac:dyDescent="0.25">
      <c r="A278" s="384" t="s">
        <v>344</v>
      </c>
      <c r="B278" s="489" t="s">
        <v>869</v>
      </c>
      <c r="C278" s="483">
        <v>1.95E-2</v>
      </c>
      <c r="D278" s="490">
        <v>2.6100000000000002E-2</v>
      </c>
      <c r="E278">
        <f t="shared" si="46"/>
        <v>0</v>
      </c>
    </row>
    <row r="279" spans="1:5" x14ac:dyDescent="0.25">
      <c r="A279" s="384" t="s">
        <v>344</v>
      </c>
      <c r="B279" s="489" t="s">
        <v>870</v>
      </c>
      <c r="C279" s="483">
        <v>2.7000000000000001E-3</v>
      </c>
      <c r="D279" s="490">
        <v>0.01</v>
      </c>
      <c r="E279">
        <f t="shared" si="46"/>
        <v>0</v>
      </c>
    </row>
    <row r="280" spans="1:5" x14ac:dyDescent="0.25">
      <c r="A280" s="384" t="s">
        <v>344</v>
      </c>
      <c r="B280" s="489" t="s">
        <v>871</v>
      </c>
      <c r="C280" s="483">
        <v>7.1833</v>
      </c>
      <c r="D280" s="490">
        <v>20</v>
      </c>
      <c r="E280">
        <f t="shared" si="46"/>
        <v>7.1833</v>
      </c>
    </row>
    <row r="281" spans="1:5" x14ac:dyDescent="0.25">
      <c r="A281" s="484" t="s">
        <v>409</v>
      </c>
      <c r="B281" s="484"/>
      <c r="C281" s="485">
        <f>SUM(C273:C280)</f>
        <v>50.500700000000002</v>
      </c>
      <c r="D281" s="485">
        <f t="shared" ref="D281:E281" si="47">SUM(D273:D280)</f>
        <v>84.133099999999999</v>
      </c>
      <c r="E281" s="485">
        <f t="shared" si="47"/>
        <v>50.423300000000005</v>
      </c>
    </row>
    <row r="283" spans="1:5" x14ac:dyDescent="0.25">
      <c r="A283" s="384" t="s">
        <v>345</v>
      </c>
      <c r="B283" s="489" t="s">
        <v>872</v>
      </c>
      <c r="C283" s="483">
        <v>0.79720000000000002</v>
      </c>
      <c r="D283" s="490">
        <v>1.2</v>
      </c>
      <c r="E283">
        <f>IF(C283&lt;2,0,C283)</f>
        <v>0</v>
      </c>
    </row>
    <row r="284" spans="1:5" x14ac:dyDescent="0.25">
      <c r="A284" s="384" t="s">
        <v>345</v>
      </c>
      <c r="B284" s="489" t="s">
        <v>873</v>
      </c>
      <c r="C284" s="483">
        <v>5.9900000000000002E-2</v>
      </c>
      <c r="D284" s="490">
        <v>0.1</v>
      </c>
      <c r="E284">
        <f t="shared" ref="E284:E300" si="48">IF(C284&lt;2,0,C284)</f>
        <v>0</v>
      </c>
    </row>
    <row r="285" spans="1:5" x14ac:dyDescent="0.25">
      <c r="A285" s="384" t="s">
        <v>345</v>
      </c>
      <c r="B285" s="489" t="s">
        <v>874</v>
      </c>
      <c r="C285" s="483">
        <v>8.9999999999999998E-4</v>
      </c>
      <c r="D285" s="490">
        <v>7.4999999999999997E-3</v>
      </c>
      <c r="E285">
        <f t="shared" si="48"/>
        <v>0</v>
      </c>
    </row>
    <row r="286" spans="1:5" x14ac:dyDescent="0.25">
      <c r="A286" s="384" t="s">
        <v>345</v>
      </c>
      <c r="B286" s="489" t="s">
        <v>875</v>
      </c>
      <c r="C286" s="483">
        <v>9.5999999999999992E-3</v>
      </c>
      <c r="D286" s="490">
        <v>0.05</v>
      </c>
      <c r="E286">
        <f t="shared" si="48"/>
        <v>0</v>
      </c>
    </row>
    <row r="287" spans="1:5" x14ac:dyDescent="0.25">
      <c r="A287" s="384" t="s">
        <v>345</v>
      </c>
      <c r="B287" s="489" t="s">
        <v>876</v>
      </c>
      <c r="C287" s="483">
        <v>1.9300000000000001E-2</v>
      </c>
      <c r="D287" s="490">
        <v>3.5999999999999997E-2</v>
      </c>
      <c r="E287">
        <f t="shared" si="48"/>
        <v>0</v>
      </c>
    </row>
    <row r="288" spans="1:5" x14ac:dyDescent="0.25">
      <c r="A288" s="384" t="s">
        <v>345</v>
      </c>
      <c r="B288" s="489" t="s">
        <v>877</v>
      </c>
      <c r="C288" s="483">
        <v>1.9E-3</v>
      </c>
      <c r="D288" s="490">
        <v>8.0000000000000002E-3</v>
      </c>
      <c r="E288">
        <f t="shared" si="48"/>
        <v>0</v>
      </c>
    </row>
    <row r="289" spans="1:5" x14ac:dyDescent="0.25">
      <c r="A289" s="384" t="s">
        <v>345</v>
      </c>
      <c r="B289" s="489" t="s">
        <v>878</v>
      </c>
      <c r="C289" s="483">
        <v>1.0999999999999999E-2</v>
      </c>
      <c r="D289" s="490">
        <v>1.17E-2</v>
      </c>
      <c r="E289">
        <f t="shared" si="48"/>
        <v>0</v>
      </c>
    </row>
    <row r="290" spans="1:5" x14ac:dyDescent="0.25">
      <c r="A290" s="384" t="s">
        <v>345</v>
      </c>
      <c r="B290" s="489" t="s">
        <v>879</v>
      </c>
      <c r="C290" s="483">
        <v>1.0317000000000001</v>
      </c>
      <c r="D290" s="490">
        <v>1.25</v>
      </c>
      <c r="E290">
        <f t="shared" si="48"/>
        <v>0</v>
      </c>
    </row>
    <row r="291" spans="1:5" x14ac:dyDescent="0.25">
      <c r="A291" s="384" t="s">
        <v>345</v>
      </c>
      <c r="B291" s="489" t="s">
        <v>880</v>
      </c>
      <c r="C291" s="483">
        <v>7.9916999999999998</v>
      </c>
      <c r="D291" s="490">
        <v>13.5</v>
      </c>
      <c r="E291">
        <f t="shared" si="48"/>
        <v>7.9916999999999998</v>
      </c>
    </row>
    <row r="292" spans="1:5" x14ac:dyDescent="0.25">
      <c r="A292" s="384" t="s">
        <v>345</v>
      </c>
      <c r="B292" s="489" t="s">
        <v>881</v>
      </c>
      <c r="C292" s="483">
        <v>6.7000000000000002E-3</v>
      </c>
      <c r="D292" s="490">
        <v>0.02</v>
      </c>
      <c r="E292">
        <f t="shared" si="48"/>
        <v>0</v>
      </c>
    </row>
    <row r="293" spans="1:5" x14ac:dyDescent="0.25">
      <c r="A293" s="384" t="s">
        <v>345</v>
      </c>
      <c r="B293" s="489" t="s">
        <v>882</v>
      </c>
      <c r="C293" s="483">
        <v>2.98E-2</v>
      </c>
      <c r="D293" s="490">
        <v>6.4000000000000001E-2</v>
      </c>
      <c r="E293">
        <f t="shared" si="48"/>
        <v>0</v>
      </c>
    </row>
    <row r="294" spans="1:5" x14ac:dyDescent="0.25">
      <c r="A294" s="384" t="s">
        <v>345</v>
      </c>
      <c r="B294" s="489" t="s">
        <v>883</v>
      </c>
      <c r="C294" s="483">
        <v>1.1999999999999999E-3</v>
      </c>
      <c r="D294" s="490">
        <v>5.0000000000000001E-3</v>
      </c>
      <c r="E294">
        <f t="shared" si="48"/>
        <v>0</v>
      </c>
    </row>
    <row r="295" spans="1:5" x14ac:dyDescent="0.25">
      <c r="A295" s="384" t="s">
        <v>345</v>
      </c>
      <c r="B295" s="489" t="s">
        <v>884</v>
      </c>
      <c r="C295" s="483">
        <v>4.4200000000000003E-2</v>
      </c>
      <c r="D295" s="490">
        <v>6.5000000000000002E-2</v>
      </c>
      <c r="E295">
        <f t="shared" si="48"/>
        <v>0</v>
      </c>
    </row>
    <row r="296" spans="1:5" x14ac:dyDescent="0.25">
      <c r="A296" s="384" t="s">
        <v>345</v>
      </c>
      <c r="B296" s="489" t="s">
        <v>885</v>
      </c>
      <c r="C296" s="483">
        <v>0.10829999999999999</v>
      </c>
      <c r="D296" s="490">
        <v>0.17199999999999999</v>
      </c>
      <c r="E296">
        <f t="shared" si="48"/>
        <v>0</v>
      </c>
    </row>
    <row r="297" spans="1:5" x14ac:dyDescent="0.25">
      <c r="A297" s="384" t="s">
        <v>345</v>
      </c>
      <c r="B297" s="489" t="s">
        <v>886</v>
      </c>
      <c r="C297" s="483">
        <v>7.2999999999999995E-2</v>
      </c>
      <c r="D297" s="490">
        <v>0.2</v>
      </c>
      <c r="E297">
        <f t="shared" si="48"/>
        <v>0</v>
      </c>
    </row>
    <row r="298" spans="1:5" x14ac:dyDescent="0.25">
      <c r="A298" s="384" t="s">
        <v>345</v>
      </c>
      <c r="B298" s="489" t="s">
        <v>887</v>
      </c>
      <c r="C298" s="483">
        <v>1.7100000000000001E-2</v>
      </c>
      <c r="D298" s="490">
        <v>0.02</v>
      </c>
      <c r="E298">
        <f t="shared" si="48"/>
        <v>0</v>
      </c>
    </row>
    <row r="299" spans="1:5" x14ac:dyDescent="0.25">
      <c r="A299" s="384" t="s">
        <v>345</v>
      </c>
      <c r="B299" s="489" t="s">
        <v>888</v>
      </c>
      <c r="C299" s="483">
        <v>2.3999999999999998E-3</v>
      </c>
      <c r="D299" s="490">
        <v>4.4999999999999997E-3</v>
      </c>
      <c r="E299">
        <f t="shared" si="48"/>
        <v>0</v>
      </c>
    </row>
    <row r="300" spans="1:5" x14ac:dyDescent="0.25">
      <c r="A300" s="384" t="s">
        <v>345</v>
      </c>
      <c r="B300" s="489" t="s">
        <v>889</v>
      </c>
      <c r="C300" s="483">
        <v>6.1800000000000001E-2</v>
      </c>
      <c r="D300" s="490">
        <v>9.6500000000000002E-2</v>
      </c>
      <c r="E300">
        <f t="shared" si="48"/>
        <v>0</v>
      </c>
    </row>
    <row r="301" spans="1:5" x14ac:dyDescent="0.25">
      <c r="A301" s="484" t="s">
        <v>409</v>
      </c>
      <c r="B301" s="484"/>
      <c r="C301" s="485">
        <f>SUM(C283:C300)</f>
        <v>10.2677</v>
      </c>
      <c r="D301" s="485">
        <f t="shared" ref="D301:E301" si="49">SUM(D283:D300)</f>
        <v>16.810199999999998</v>
      </c>
      <c r="E301" s="485">
        <f t="shared" si="49"/>
        <v>7.9916999999999998</v>
      </c>
    </row>
    <row r="302" spans="1:5" x14ac:dyDescent="0.25">
      <c r="A302" s="384"/>
    </row>
    <row r="303" spans="1:5" x14ac:dyDescent="0.25">
      <c r="A303" s="384" t="s">
        <v>346</v>
      </c>
      <c r="B303" s="489" t="s">
        <v>890</v>
      </c>
      <c r="C303" s="483">
        <v>0.98180000000000001</v>
      </c>
      <c r="D303" s="490">
        <v>1.3</v>
      </c>
      <c r="E303">
        <f>IF(C303&lt;2,0,C303)</f>
        <v>0</v>
      </c>
    </row>
    <row r="304" spans="1:5" ht="26.4" x14ac:dyDescent="0.25">
      <c r="A304" s="384" t="s">
        <v>346</v>
      </c>
      <c r="B304" s="489" t="s">
        <v>891</v>
      </c>
      <c r="C304" s="483">
        <v>0.02</v>
      </c>
      <c r="D304" s="490">
        <v>0.02</v>
      </c>
      <c r="E304">
        <f t="shared" ref="E304:E315" si="50">IF(C304&lt;2,0,C304)</f>
        <v>0</v>
      </c>
    </row>
    <row r="305" spans="1:5" x14ac:dyDescent="0.25">
      <c r="A305" s="384" t="s">
        <v>346</v>
      </c>
      <c r="B305" s="489" t="s">
        <v>892</v>
      </c>
      <c r="C305" s="483">
        <v>1.09E-2</v>
      </c>
      <c r="D305" s="490">
        <v>0.05</v>
      </c>
      <c r="E305">
        <f t="shared" si="50"/>
        <v>0</v>
      </c>
    </row>
    <row r="306" spans="1:5" x14ac:dyDescent="0.25">
      <c r="A306" s="384" t="s">
        <v>346</v>
      </c>
      <c r="B306" s="489" t="s">
        <v>893</v>
      </c>
      <c r="C306" s="483">
        <v>2.47E-2</v>
      </c>
      <c r="D306" s="490">
        <v>0.05</v>
      </c>
      <c r="E306">
        <f t="shared" si="50"/>
        <v>0</v>
      </c>
    </row>
    <row r="307" spans="1:5" x14ac:dyDescent="0.25">
      <c r="A307" s="384" t="s">
        <v>346</v>
      </c>
      <c r="B307" s="489" t="s">
        <v>894</v>
      </c>
      <c r="C307" s="483">
        <v>0.01</v>
      </c>
      <c r="D307" s="490">
        <v>0.03</v>
      </c>
      <c r="E307">
        <f t="shared" si="50"/>
        <v>0</v>
      </c>
    </row>
    <row r="308" spans="1:5" x14ac:dyDescent="0.25">
      <c r="A308" s="384" t="s">
        <v>346</v>
      </c>
      <c r="B308" s="489" t="s">
        <v>895</v>
      </c>
      <c r="C308" s="483">
        <v>0.38200000000000001</v>
      </c>
      <c r="D308" s="490">
        <v>0.75</v>
      </c>
      <c r="E308">
        <f t="shared" si="50"/>
        <v>0</v>
      </c>
    </row>
    <row r="309" spans="1:5" x14ac:dyDescent="0.25">
      <c r="A309" s="384" t="s">
        <v>346</v>
      </c>
      <c r="B309" s="489" t="s">
        <v>896</v>
      </c>
      <c r="C309" s="483">
        <v>1.3655999999999999</v>
      </c>
      <c r="D309" s="492">
        <v>1.875</v>
      </c>
      <c r="E309">
        <f t="shared" si="50"/>
        <v>0</v>
      </c>
    </row>
    <row r="310" spans="1:5" x14ac:dyDescent="0.25">
      <c r="A310" s="384" t="s">
        <v>346</v>
      </c>
      <c r="B310" s="489" t="s">
        <v>897</v>
      </c>
      <c r="C310" s="483">
        <v>3.0000000000000001E-3</v>
      </c>
      <c r="D310" s="490">
        <v>0.02</v>
      </c>
      <c r="E310">
        <f t="shared" si="50"/>
        <v>0</v>
      </c>
    </row>
    <row r="311" spans="1:5" x14ac:dyDescent="0.25">
      <c r="A311" s="384" t="s">
        <v>346</v>
      </c>
      <c r="B311" s="489" t="s">
        <v>898</v>
      </c>
      <c r="C311" s="483">
        <v>4.6199999999999998E-2</v>
      </c>
      <c r="D311" s="490">
        <v>7.4999999999999997E-2</v>
      </c>
      <c r="E311">
        <f t="shared" si="50"/>
        <v>0</v>
      </c>
    </row>
    <row r="312" spans="1:5" x14ac:dyDescent="0.25">
      <c r="A312" s="384" t="s">
        <v>346</v>
      </c>
      <c r="B312" s="489" t="s">
        <v>899</v>
      </c>
      <c r="C312" s="483">
        <v>1.9E-3</v>
      </c>
      <c r="D312" s="490">
        <v>1.23E-2</v>
      </c>
      <c r="E312">
        <f t="shared" si="50"/>
        <v>0</v>
      </c>
    </row>
    <row r="313" spans="1:5" x14ac:dyDescent="0.25">
      <c r="A313" s="384" t="s">
        <v>346</v>
      </c>
      <c r="B313" s="489" t="s">
        <v>900</v>
      </c>
      <c r="C313" s="483">
        <v>0.48799999999999999</v>
      </c>
      <c r="D313" s="490">
        <v>1.4</v>
      </c>
      <c r="E313">
        <f t="shared" si="50"/>
        <v>0</v>
      </c>
    </row>
    <row r="314" spans="1:5" x14ac:dyDescent="0.25">
      <c r="A314" s="384" t="s">
        <v>346</v>
      </c>
      <c r="B314" s="489" t="s">
        <v>901</v>
      </c>
      <c r="C314" s="483">
        <v>1.6999999999999999E-3</v>
      </c>
      <c r="D314" s="490">
        <v>8.9999999999999993E-3</v>
      </c>
      <c r="E314">
        <f t="shared" si="50"/>
        <v>0</v>
      </c>
    </row>
    <row r="315" spans="1:5" x14ac:dyDescent="0.25">
      <c r="A315" s="384" t="s">
        <v>346</v>
      </c>
      <c r="B315" s="489" t="s">
        <v>902</v>
      </c>
      <c r="C315" s="483">
        <v>0.31509999999999999</v>
      </c>
      <c r="D315" s="490">
        <v>0.53</v>
      </c>
      <c r="E315">
        <f t="shared" si="50"/>
        <v>0</v>
      </c>
    </row>
    <row r="316" spans="1:5" x14ac:dyDescent="0.25">
      <c r="A316" s="484" t="s">
        <v>409</v>
      </c>
      <c r="B316" s="484"/>
      <c r="C316" s="485">
        <f>SUM(C303:C315)</f>
        <v>3.6509</v>
      </c>
      <c r="D316" s="485">
        <f t="shared" ref="D316:E316" si="51">SUM(D303:D315)</f>
        <v>6.1213000000000006</v>
      </c>
      <c r="E316" s="485">
        <f t="shared" si="51"/>
        <v>0</v>
      </c>
    </row>
    <row r="317" spans="1:5" x14ac:dyDescent="0.25">
      <c r="A317" s="384"/>
    </row>
    <row r="318" spans="1:5" x14ac:dyDescent="0.25">
      <c r="A318" s="384" t="s">
        <v>347</v>
      </c>
      <c r="B318" s="489" t="s">
        <v>903</v>
      </c>
      <c r="C318" s="483">
        <v>4.7999999999999996E-3</v>
      </c>
      <c r="D318" s="490">
        <v>2.9600000000000001E-2</v>
      </c>
      <c r="E318">
        <f>IF(C318&lt;2,0,C318)</f>
        <v>0</v>
      </c>
    </row>
    <row r="319" spans="1:5" x14ac:dyDescent="0.25">
      <c r="A319" s="384" t="s">
        <v>347</v>
      </c>
      <c r="B319" s="489" t="s">
        <v>904</v>
      </c>
      <c r="C319" s="483">
        <v>4.8999999999999998E-3</v>
      </c>
      <c r="D319" s="490">
        <v>0.03</v>
      </c>
      <c r="E319">
        <f t="shared" ref="E319:E345" si="52">IF(C319&lt;2,0,C319)</f>
        <v>0</v>
      </c>
    </row>
    <row r="320" spans="1:5" x14ac:dyDescent="0.25">
      <c r="A320" s="384" t="s">
        <v>347</v>
      </c>
      <c r="B320" s="489" t="s">
        <v>905</v>
      </c>
      <c r="C320" s="483">
        <v>1.2028000000000001</v>
      </c>
      <c r="D320" s="490">
        <v>2.1</v>
      </c>
      <c r="E320">
        <f t="shared" si="52"/>
        <v>0</v>
      </c>
    </row>
    <row r="321" spans="1:5" x14ac:dyDescent="0.25">
      <c r="A321" s="384" t="s">
        <v>347</v>
      </c>
      <c r="B321" s="489" t="s">
        <v>906</v>
      </c>
      <c r="C321" s="483">
        <v>5.5999999999999999E-3</v>
      </c>
      <c r="D321" s="490">
        <v>6.7000000000000002E-3</v>
      </c>
      <c r="E321">
        <f t="shared" si="52"/>
        <v>0</v>
      </c>
    </row>
    <row r="322" spans="1:5" x14ac:dyDescent="0.25">
      <c r="A322" s="384" t="s">
        <v>347</v>
      </c>
      <c r="B322" s="489" t="s">
        <v>907</v>
      </c>
      <c r="C322" s="483">
        <v>1.6722999999999999</v>
      </c>
      <c r="D322" s="490">
        <v>2.5</v>
      </c>
      <c r="E322">
        <f t="shared" si="52"/>
        <v>0</v>
      </c>
    </row>
    <row r="323" spans="1:5" x14ac:dyDescent="0.25">
      <c r="A323" s="384" t="s">
        <v>347</v>
      </c>
      <c r="B323" s="489" t="s">
        <v>908</v>
      </c>
      <c r="C323" s="483">
        <v>9.5000000000000001E-2</v>
      </c>
      <c r="D323" s="490">
        <v>0.4</v>
      </c>
      <c r="E323">
        <f t="shared" si="52"/>
        <v>0</v>
      </c>
    </row>
    <row r="324" spans="1:5" x14ac:dyDescent="0.25">
      <c r="A324" s="384" t="s">
        <v>347</v>
      </c>
      <c r="B324" s="489" t="s">
        <v>909</v>
      </c>
      <c r="C324" s="483">
        <v>0.60919999999999996</v>
      </c>
      <c r="D324" s="490">
        <v>0.8</v>
      </c>
      <c r="E324">
        <f t="shared" si="52"/>
        <v>0</v>
      </c>
    </row>
    <row r="325" spans="1:5" x14ac:dyDescent="0.25">
      <c r="A325" s="384" t="s">
        <v>347</v>
      </c>
      <c r="B325" s="489" t="s">
        <v>910</v>
      </c>
      <c r="C325" s="483">
        <v>19.635000000000002</v>
      </c>
      <c r="D325" s="490">
        <v>21.3</v>
      </c>
      <c r="E325">
        <f t="shared" si="52"/>
        <v>19.635000000000002</v>
      </c>
    </row>
    <row r="326" spans="1:5" x14ac:dyDescent="0.25">
      <c r="A326" s="384" t="s">
        <v>347</v>
      </c>
      <c r="B326" s="489" t="s">
        <v>911</v>
      </c>
      <c r="C326" s="483">
        <v>4.0000000000000002E-4</v>
      </c>
      <c r="D326" s="490">
        <v>6.3E-3</v>
      </c>
      <c r="E326">
        <f t="shared" si="52"/>
        <v>0</v>
      </c>
    </row>
    <row r="327" spans="1:5" x14ac:dyDescent="0.25">
      <c r="A327" s="384" t="s">
        <v>347</v>
      </c>
      <c r="B327" s="489" t="s">
        <v>912</v>
      </c>
      <c r="C327" s="483">
        <v>4.1000000000000003E-3</v>
      </c>
      <c r="D327" s="490">
        <v>3.8100000000000002E-2</v>
      </c>
      <c r="E327">
        <f t="shared" si="52"/>
        <v>0</v>
      </c>
    </row>
    <row r="328" spans="1:5" x14ac:dyDescent="0.25">
      <c r="A328" s="384" t="s">
        <v>347</v>
      </c>
      <c r="B328" s="489" t="s">
        <v>913</v>
      </c>
      <c r="C328" s="483">
        <v>6.4000000000000001E-2</v>
      </c>
      <c r="D328" s="490">
        <v>0.5</v>
      </c>
      <c r="E328">
        <f t="shared" si="52"/>
        <v>0</v>
      </c>
    </row>
    <row r="329" spans="1:5" x14ac:dyDescent="0.25">
      <c r="A329" s="384" t="s">
        <v>347</v>
      </c>
      <c r="B329" s="489" t="s">
        <v>914</v>
      </c>
      <c r="C329" s="483">
        <v>1.54E-2</v>
      </c>
      <c r="D329" s="490">
        <v>3.5000000000000003E-2</v>
      </c>
      <c r="E329">
        <f t="shared" si="52"/>
        <v>0</v>
      </c>
    </row>
    <row r="330" spans="1:5" x14ac:dyDescent="0.25">
      <c r="A330" s="384" t="s">
        <v>347</v>
      </c>
      <c r="B330" s="489" t="s">
        <v>915</v>
      </c>
      <c r="C330" s="483">
        <v>2.93E-2</v>
      </c>
      <c r="D330" s="490">
        <v>0.05</v>
      </c>
      <c r="E330">
        <f t="shared" si="52"/>
        <v>0</v>
      </c>
    </row>
    <row r="331" spans="1:5" x14ac:dyDescent="0.25">
      <c r="A331" s="384" t="s">
        <v>347</v>
      </c>
      <c r="B331" s="489" t="s">
        <v>916</v>
      </c>
      <c r="C331" s="483">
        <v>9.2799999999999994E-2</v>
      </c>
      <c r="D331" s="490">
        <v>0.05</v>
      </c>
      <c r="E331">
        <f t="shared" si="52"/>
        <v>0</v>
      </c>
    </row>
    <row r="332" spans="1:5" x14ac:dyDescent="0.25">
      <c r="A332" s="384" t="s">
        <v>347</v>
      </c>
      <c r="B332" s="489" t="s">
        <v>917</v>
      </c>
      <c r="C332" s="483">
        <v>7.1999999999999998E-3</v>
      </c>
      <c r="D332" s="490">
        <v>1.5299999999999999E-2</v>
      </c>
      <c r="E332">
        <f t="shared" si="52"/>
        <v>0</v>
      </c>
    </row>
    <row r="333" spans="1:5" x14ac:dyDescent="0.25">
      <c r="A333" s="384" t="s">
        <v>347</v>
      </c>
      <c r="B333" s="489" t="s">
        <v>918</v>
      </c>
      <c r="C333" s="483">
        <v>0.45419999999999999</v>
      </c>
      <c r="D333" s="490">
        <v>0.63</v>
      </c>
      <c r="E333">
        <f t="shared" si="52"/>
        <v>0</v>
      </c>
    </row>
    <row r="334" spans="1:5" x14ac:dyDescent="0.25">
      <c r="A334" s="384" t="s">
        <v>347</v>
      </c>
      <c r="B334" s="489" t="s">
        <v>919</v>
      </c>
      <c r="C334" s="483">
        <v>6.8900000000000003E-2</v>
      </c>
      <c r="D334" s="490">
        <v>0.14499999999999999</v>
      </c>
      <c r="E334">
        <f t="shared" si="52"/>
        <v>0</v>
      </c>
    </row>
    <row r="335" spans="1:5" x14ac:dyDescent="0.25">
      <c r="A335" s="384" t="s">
        <v>347</v>
      </c>
      <c r="B335" s="489" t="s">
        <v>920</v>
      </c>
      <c r="C335" s="483">
        <v>0.40860000000000002</v>
      </c>
      <c r="D335" s="490">
        <v>0.67</v>
      </c>
      <c r="E335">
        <f t="shared" si="52"/>
        <v>0</v>
      </c>
    </row>
    <row r="336" spans="1:5" x14ac:dyDescent="0.25">
      <c r="A336" s="384" t="s">
        <v>347</v>
      </c>
      <c r="B336" s="489" t="s">
        <v>921</v>
      </c>
      <c r="C336" s="483">
        <v>3.5700000000000003E-2</v>
      </c>
      <c r="D336" s="490">
        <v>8.7999999999999995E-2</v>
      </c>
      <c r="E336">
        <f t="shared" si="52"/>
        <v>0</v>
      </c>
    </row>
    <row r="337" spans="1:5" x14ac:dyDescent="0.25">
      <c r="A337" s="384" t="s">
        <v>347</v>
      </c>
      <c r="B337" s="489" t="s">
        <v>922</v>
      </c>
      <c r="C337" s="483">
        <v>2.3E-3</v>
      </c>
      <c r="D337" s="490">
        <v>1.14E-2</v>
      </c>
      <c r="E337">
        <f t="shared" si="52"/>
        <v>0</v>
      </c>
    </row>
    <row r="338" spans="1:5" x14ac:dyDescent="0.25">
      <c r="A338" s="384" t="s">
        <v>347</v>
      </c>
      <c r="B338" s="489" t="s">
        <v>923</v>
      </c>
      <c r="C338" s="483">
        <v>0.1668</v>
      </c>
      <c r="D338" s="490">
        <v>0.28599999999999998</v>
      </c>
      <c r="E338">
        <f t="shared" si="52"/>
        <v>0</v>
      </c>
    </row>
    <row r="339" spans="1:5" x14ac:dyDescent="0.25">
      <c r="A339" s="384" t="s">
        <v>347</v>
      </c>
      <c r="B339" s="489" t="s">
        <v>924</v>
      </c>
      <c r="C339" s="483">
        <v>2E-3</v>
      </c>
      <c r="D339" s="490">
        <v>2E-3</v>
      </c>
      <c r="E339">
        <f t="shared" si="52"/>
        <v>0</v>
      </c>
    </row>
    <row r="340" spans="1:5" x14ac:dyDescent="0.25">
      <c r="A340" s="384" t="s">
        <v>347</v>
      </c>
      <c r="B340" s="489" t="s">
        <v>925</v>
      </c>
      <c r="C340" s="483">
        <v>4.0000000000000002E-4</v>
      </c>
      <c r="D340" s="490">
        <v>3.2000000000000002E-3</v>
      </c>
      <c r="E340">
        <f t="shared" si="52"/>
        <v>0</v>
      </c>
    </row>
    <row r="341" spans="1:5" x14ac:dyDescent="0.25">
      <c r="A341" s="384" t="s">
        <v>347</v>
      </c>
      <c r="B341" s="489" t="s">
        <v>926</v>
      </c>
      <c r="C341" s="483">
        <v>9.7999999999999997E-3</v>
      </c>
      <c r="D341" s="490">
        <v>0.08</v>
      </c>
      <c r="E341">
        <f t="shared" si="52"/>
        <v>0</v>
      </c>
    </row>
    <row r="342" spans="1:5" x14ac:dyDescent="0.25">
      <c r="A342" s="384" t="s">
        <v>347</v>
      </c>
      <c r="B342" s="489" t="s">
        <v>927</v>
      </c>
      <c r="C342" s="483">
        <v>0.37740000000000001</v>
      </c>
      <c r="D342" s="490">
        <v>0.47</v>
      </c>
      <c r="E342">
        <f t="shared" si="52"/>
        <v>0</v>
      </c>
    </row>
    <row r="343" spans="1:5" x14ac:dyDescent="0.25">
      <c r="A343" s="384" t="s">
        <v>347</v>
      </c>
      <c r="B343" s="489" t="s">
        <v>928</v>
      </c>
      <c r="C343" s="483">
        <v>0.32429999999999998</v>
      </c>
      <c r="D343" s="490">
        <v>0.8</v>
      </c>
      <c r="E343">
        <f t="shared" si="52"/>
        <v>0</v>
      </c>
    </row>
    <row r="344" spans="1:5" x14ac:dyDescent="0.25">
      <c r="A344" s="384" t="s">
        <v>347</v>
      </c>
      <c r="B344" s="489" t="s">
        <v>929</v>
      </c>
      <c r="C344" s="483">
        <v>0.18729999999999999</v>
      </c>
      <c r="D344" s="490">
        <v>0.38</v>
      </c>
      <c r="E344">
        <f t="shared" si="52"/>
        <v>0</v>
      </c>
    </row>
    <row r="345" spans="1:5" x14ac:dyDescent="0.25">
      <c r="A345" s="384" t="s">
        <v>347</v>
      </c>
      <c r="B345" s="489" t="s">
        <v>930</v>
      </c>
      <c r="C345" s="483">
        <v>8.2000000000000007E-3</v>
      </c>
      <c r="D345" s="490">
        <v>1.7500000000000002E-2</v>
      </c>
      <c r="E345">
        <f t="shared" si="52"/>
        <v>0</v>
      </c>
    </row>
    <row r="346" spans="1:5" x14ac:dyDescent="0.25">
      <c r="A346" s="484" t="s">
        <v>409</v>
      </c>
      <c r="B346" s="484"/>
      <c r="C346" s="485">
        <f>SUM(C318:C345)</f>
        <v>25.488699999999998</v>
      </c>
      <c r="D346" s="485">
        <f t="shared" ref="D346:E346" si="53">SUM(D318:D345)</f>
        <v>31.444099999999995</v>
      </c>
      <c r="E346" s="485">
        <f t="shared" si="53"/>
        <v>19.635000000000002</v>
      </c>
    </row>
    <row r="347" spans="1:5" x14ac:dyDescent="0.25">
      <c r="A347" s="384"/>
    </row>
    <row r="348" spans="1:5" x14ac:dyDescent="0.25">
      <c r="A348" s="384" t="s">
        <v>348</v>
      </c>
      <c r="B348" s="489" t="s">
        <v>931</v>
      </c>
      <c r="C348" s="483">
        <v>1.5E-3</v>
      </c>
      <c r="D348" s="490">
        <v>0.01</v>
      </c>
      <c r="E348">
        <f>IF(C348&lt;2,0,C348)</f>
        <v>0</v>
      </c>
    </row>
    <row r="349" spans="1:5" x14ac:dyDescent="0.25">
      <c r="A349" s="384" t="s">
        <v>348</v>
      </c>
      <c r="B349" s="489" t="s">
        <v>932</v>
      </c>
      <c r="C349" s="483">
        <v>7.1000000000000004E-3</v>
      </c>
      <c r="D349" s="490">
        <v>0.02</v>
      </c>
      <c r="E349">
        <f t="shared" ref="E349:E374" si="54">IF(C349&lt;2,0,C349)</f>
        <v>0</v>
      </c>
    </row>
    <row r="350" spans="1:5" x14ac:dyDescent="0.25">
      <c r="A350" s="384" t="s">
        <v>348</v>
      </c>
      <c r="B350" s="489" t="s">
        <v>933</v>
      </c>
      <c r="C350" s="483">
        <v>0.12429999999999999</v>
      </c>
      <c r="D350" s="490">
        <v>0.14000000000000001</v>
      </c>
      <c r="E350">
        <f t="shared" si="54"/>
        <v>0</v>
      </c>
    </row>
    <row r="351" spans="1:5" x14ac:dyDescent="0.25">
      <c r="A351" s="384" t="s">
        <v>348</v>
      </c>
      <c r="B351" s="489" t="s">
        <v>934</v>
      </c>
      <c r="C351" s="483">
        <v>9.4000000000000004E-3</v>
      </c>
      <c r="D351" s="490">
        <v>0.05</v>
      </c>
      <c r="E351">
        <f t="shared" si="54"/>
        <v>0</v>
      </c>
    </row>
    <row r="352" spans="1:5" x14ac:dyDescent="0.25">
      <c r="A352" s="384" t="s">
        <v>348</v>
      </c>
      <c r="B352" s="489" t="s">
        <v>935</v>
      </c>
      <c r="C352" s="483">
        <v>2.0000000000000001E-4</v>
      </c>
      <c r="D352" s="490">
        <v>2.9999999999999997E-4</v>
      </c>
      <c r="E352">
        <f t="shared" si="54"/>
        <v>0</v>
      </c>
    </row>
    <row r="353" spans="1:5" x14ac:dyDescent="0.25">
      <c r="A353" s="384" t="s">
        <v>348</v>
      </c>
      <c r="B353" s="489" t="s">
        <v>936</v>
      </c>
      <c r="C353" s="483">
        <v>1.7000000000000001E-2</v>
      </c>
      <c r="D353" s="490">
        <v>0.05</v>
      </c>
      <c r="E353">
        <f t="shared" si="54"/>
        <v>0</v>
      </c>
    </row>
    <row r="354" spans="1:5" x14ac:dyDescent="0.25">
      <c r="A354" s="384" t="s">
        <v>348</v>
      </c>
      <c r="B354" s="489" t="s">
        <v>937</v>
      </c>
      <c r="C354" s="483">
        <v>1.5E-3</v>
      </c>
      <c r="D354" s="490">
        <v>2E-3</v>
      </c>
      <c r="E354">
        <f t="shared" si="54"/>
        <v>0</v>
      </c>
    </row>
    <row r="355" spans="1:5" x14ac:dyDescent="0.25">
      <c r="A355" s="384" t="s">
        <v>348</v>
      </c>
      <c r="B355" s="489" t="s">
        <v>938</v>
      </c>
      <c r="C355" s="483">
        <v>1.0699999999999999E-2</v>
      </c>
      <c r="D355" s="490">
        <v>3.4799999999999998E-2</v>
      </c>
      <c r="E355">
        <f t="shared" si="54"/>
        <v>0</v>
      </c>
    </row>
    <row r="356" spans="1:5" x14ac:dyDescent="0.25">
      <c r="A356" s="384" t="s">
        <v>348</v>
      </c>
      <c r="B356" s="489" t="s">
        <v>939</v>
      </c>
      <c r="C356" s="483">
        <v>1.26E-2</v>
      </c>
      <c r="D356" s="490">
        <v>0.02</v>
      </c>
      <c r="E356">
        <f t="shared" si="54"/>
        <v>0</v>
      </c>
    </row>
    <row r="357" spans="1:5" x14ac:dyDescent="0.25">
      <c r="A357" s="384" t="s">
        <v>348</v>
      </c>
      <c r="B357" s="489" t="s">
        <v>940</v>
      </c>
      <c r="C357" s="483">
        <v>3.7699999999999997E-2</v>
      </c>
      <c r="D357" s="490">
        <v>0.05</v>
      </c>
      <c r="E357">
        <f t="shared" si="54"/>
        <v>0</v>
      </c>
    </row>
    <row r="358" spans="1:5" x14ac:dyDescent="0.25">
      <c r="A358" s="384" t="s">
        <v>348</v>
      </c>
      <c r="B358" s="489" t="s">
        <v>941</v>
      </c>
      <c r="C358" s="483">
        <v>1.7326999999999999</v>
      </c>
      <c r="D358" s="490">
        <v>2.5</v>
      </c>
      <c r="E358">
        <f t="shared" si="54"/>
        <v>0</v>
      </c>
    </row>
    <row r="359" spans="1:5" x14ac:dyDescent="0.25">
      <c r="A359" s="384" t="s">
        <v>348</v>
      </c>
      <c r="B359" s="489" t="s">
        <v>942</v>
      </c>
      <c r="C359" s="483">
        <v>2.3E-3</v>
      </c>
      <c r="D359" s="490">
        <v>2.1999999999999999E-2</v>
      </c>
      <c r="E359">
        <f t="shared" si="54"/>
        <v>0</v>
      </c>
    </row>
    <row r="360" spans="1:5" x14ac:dyDescent="0.25">
      <c r="A360" s="384" t="s">
        <v>348</v>
      </c>
      <c r="B360" s="489" t="s">
        <v>943</v>
      </c>
      <c r="C360" s="483">
        <v>1.1000000000000001E-3</v>
      </c>
      <c r="D360" s="490">
        <v>8.9999999999999993E-3</v>
      </c>
      <c r="E360">
        <f t="shared" si="54"/>
        <v>0</v>
      </c>
    </row>
    <row r="361" spans="1:5" x14ac:dyDescent="0.25">
      <c r="A361" s="384" t="s">
        <v>348</v>
      </c>
      <c r="B361" s="489" t="s">
        <v>944</v>
      </c>
      <c r="C361" s="483">
        <v>1.0491999999999999</v>
      </c>
      <c r="D361" s="490">
        <v>1.4</v>
      </c>
      <c r="E361">
        <f t="shared" si="54"/>
        <v>0</v>
      </c>
    </row>
    <row r="362" spans="1:5" x14ac:dyDescent="0.25">
      <c r="A362" s="384" t="s">
        <v>348</v>
      </c>
      <c r="B362" s="489" t="s">
        <v>945</v>
      </c>
      <c r="C362" s="483">
        <v>4.7999999999999996E-3</v>
      </c>
      <c r="D362" s="490">
        <v>2.8799999999999999E-2</v>
      </c>
      <c r="E362">
        <f t="shared" si="54"/>
        <v>0</v>
      </c>
    </row>
    <row r="363" spans="1:5" x14ac:dyDescent="0.25">
      <c r="A363" s="384" t="s">
        <v>348</v>
      </c>
      <c r="B363" s="489" t="s">
        <v>946</v>
      </c>
      <c r="C363" s="483">
        <v>4.7999999999999996E-3</v>
      </c>
      <c r="D363" s="490">
        <v>1.9800000000000002E-2</v>
      </c>
      <c r="E363">
        <f t="shared" si="54"/>
        <v>0</v>
      </c>
    </row>
    <row r="364" spans="1:5" x14ac:dyDescent="0.25">
      <c r="A364" s="384" t="s">
        <v>348</v>
      </c>
      <c r="B364" s="489" t="s">
        <v>947</v>
      </c>
      <c r="C364" s="483">
        <v>4.7999999999999996E-3</v>
      </c>
      <c r="D364" s="490">
        <v>2.01E-2</v>
      </c>
      <c r="E364">
        <f t="shared" si="54"/>
        <v>0</v>
      </c>
    </row>
    <row r="365" spans="1:5" x14ac:dyDescent="0.25">
      <c r="A365" s="384" t="s">
        <v>348</v>
      </c>
      <c r="B365" s="489" t="s">
        <v>948</v>
      </c>
      <c r="C365" s="483">
        <v>3.3399999999999999E-2</v>
      </c>
      <c r="D365" s="490">
        <v>0.05</v>
      </c>
      <c r="E365">
        <f t="shared" si="54"/>
        <v>0</v>
      </c>
    </row>
    <row r="366" spans="1:5" x14ac:dyDescent="0.25">
      <c r="A366" s="384" t="s">
        <v>348</v>
      </c>
      <c r="B366" s="489" t="s">
        <v>949</v>
      </c>
      <c r="C366" s="483">
        <v>2.3999999999999998E-3</v>
      </c>
      <c r="D366" s="490">
        <v>2.5000000000000001E-2</v>
      </c>
      <c r="E366">
        <f t="shared" si="54"/>
        <v>0</v>
      </c>
    </row>
    <row r="367" spans="1:5" x14ac:dyDescent="0.25">
      <c r="A367" s="384" t="s">
        <v>348</v>
      </c>
      <c r="B367" s="489" t="s">
        <v>950</v>
      </c>
      <c r="C367" s="483">
        <v>5.3E-3</v>
      </c>
      <c r="D367" s="490">
        <v>1.7999999999999999E-2</v>
      </c>
      <c r="E367">
        <f t="shared" si="54"/>
        <v>0</v>
      </c>
    </row>
    <row r="368" spans="1:5" x14ac:dyDescent="0.25">
      <c r="A368" s="384" t="s">
        <v>348</v>
      </c>
      <c r="B368" s="489" t="s">
        <v>951</v>
      </c>
      <c r="C368" s="483">
        <v>1.9E-3</v>
      </c>
      <c r="D368" s="490">
        <v>2.2499999999999999E-2</v>
      </c>
      <c r="E368">
        <f t="shared" si="54"/>
        <v>0</v>
      </c>
    </row>
    <row r="369" spans="1:5" x14ac:dyDescent="0.25">
      <c r="A369" s="384" t="s">
        <v>348</v>
      </c>
      <c r="B369" s="489" t="s">
        <v>952</v>
      </c>
      <c r="C369" s="483">
        <v>6.1999999999999998E-3</v>
      </c>
      <c r="D369" s="490">
        <v>1.2E-2</v>
      </c>
      <c r="E369">
        <f t="shared" si="54"/>
        <v>0</v>
      </c>
    </row>
    <row r="370" spans="1:5" x14ac:dyDescent="0.25">
      <c r="A370" s="384" t="s">
        <v>348</v>
      </c>
      <c r="B370" s="489" t="s">
        <v>953</v>
      </c>
      <c r="C370" s="483">
        <v>9.1999999999999998E-3</v>
      </c>
      <c r="D370" s="490">
        <v>3.2000000000000001E-2</v>
      </c>
      <c r="E370">
        <f t="shared" si="54"/>
        <v>0</v>
      </c>
    </row>
    <row r="371" spans="1:5" x14ac:dyDescent="0.25">
      <c r="A371" s="384" t="s">
        <v>348</v>
      </c>
      <c r="B371" s="489" t="s">
        <v>954</v>
      </c>
      <c r="C371" s="483">
        <v>8.0399999999999999E-2</v>
      </c>
      <c r="D371" s="490">
        <v>0.35</v>
      </c>
      <c r="E371">
        <f t="shared" si="54"/>
        <v>0</v>
      </c>
    </row>
    <row r="372" spans="1:5" x14ac:dyDescent="0.25">
      <c r="A372" s="384" t="s">
        <v>348</v>
      </c>
      <c r="B372" s="489" t="s">
        <v>955</v>
      </c>
      <c r="C372" s="483">
        <v>6.6E-3</v>
      </c>
      <c r="D372" s="490">
        <v>1.9E-2</v>
      </c>
      <c r="E372">
        <f t="shared" si="54"/>
        <v>0</v>
      </c>
    </row>
    <row r="373" spans="1:5" x14ac:dyDescent="0.25">
      <c r="A373" s="384" t="s">
        <v>348</v>
      </c>
      <c r="B373" s="489" t="s">
        <v>956</v>
      </c>
      <c r="C373" s="483">
        <v>8.3000000000000001E-3</v>
      </c>
      <c r="D373" s="490">
        <v>0.08</v>
      </c>
      <c r="E373">
        <f t="shared" si="54"/>
        <v>0</v>
      </c>
    </row>
    <row r="374" spans="1:5" x14ac:dyDescent="0.25">
      <c r="A374" s="384" t="s">
        <v>348</v>
      </c>
      <c r="B374" s="489" t="s">
        <v>957</v>
      </c>
      <c r="C374" s="483">
        <v>4.7999999999999996E-3</v>
      </c>
      <c r="D374" s="490">
        <v>0.03</v>
      </c>
      <c r="E374">
        <f t="shared" si="54"/>
        <v>0</v>
      </c>
    </row>
    <row r="375" spans="1:5" x14ac:dyDescent="0.25">
      <c r="A375" s="484" t="s">
        <v>409</v>
      </c>
      <c r="B375" s="484"/>
      <c r="C375" s="485">
        <f>SUM(C348:C374)</f>
        <v>3.1802000000000001</v>
      </c>
      <c r="D375" s="485">
        <f t="shared" ref="D375:E375" si="55">SUM(D348:D374)</f>
        <v>5.0152999999999999</v>
      </c>
      <c r="E375" s="485">
        <f t="shared" si="55"/>
        <v>0</v>
      </c>
    </row>
    <row r="377" spans="1:5" x14ac:dyDescent="0.25">
      <c r="A377" s="384" t="s">
        <v>349</v>
      </c>
      <c r="B377" s="489" t="s">
        <v>958</v>
      </c>
      <c r="C377" s="483">
        <v>1.5103</v>
      </c>
      <c r="D377" s="490">
        <v>3.1</v>
      </c>
      <c r="E377">
        <f>IF(C377&lt;2,0,C377)</f>
        <v>0</v>
      </c>
    </row>
    <row r="378" spans="1:5" x14ac:dyDescent="0.25">
      <c r="A378" s="384" t="s">
        <v>349</v>
      </c>
      <c r="B378" s="489" t="s">
        <v>959</v>
      </c>
      <c r="C378" s="483">
        <v>0.53</v>
      </c>
      <c r="D378" s="490">
        <v>1.5</v>
      </c>
      <c r="E378">
        <f t="shared" ref="E378:E381" si="56">IF(C378&lt;2,0,C378)</f>
        <v>0</v>
      </c>
    </row>
    <row r="379" spans="1:5" x14ac:dyDescent="0.25">
      <c r="A379" s="384" t="s">
        <v>349</v>
      </c>
      <c r="B379" s="489" t="s">
        <v>960</v>
      </c>
      <c r="C379" s="483">
        <v>63.340600000000002</v>
      </c>
      <c r="D379" s="490">
        <v>85</v>
      </c>
      <c r="E379">
        <f t="shared" si="56"/>
        <v>63.340600000000002</v>
      </c>
    </row>
    <row r="380" spans="1:5" x14ac:dyDescent="0.25">
      <c r="A380" s="384" t="s">
        <v>349</v>
      </c>
      <c r="B380" s="489" t="s">
        <v>961</v>
      </c>
      <c r="C380" s="483">
        <v>11.0654</v>
      </c>
      <c r="D380" s="490">
        <v>17</v>
      </c>
      <c r="E380">
        <f t="shared" si="56"/>
        <v>11.0654</v>
      </c>
    </row>
    <row r="381" spans="1:5" x14ac:dyDescent="0.25">
      <c r="A381" s="384" t="s">
        <v>349</v>
      </c>
      <c r="B381" s="489" t="s">
        <v>962</v>
      </c>
      <c r="C381" s="483">
        <v>28.65</v>
      </c>
      <c r="D381" s="490">
        <v>40</v>
      </c>
      <c r="E381" s="483">
        <f t="shared" si="56"/>
        <v>28.65</v>
      </c>
    </row>
    <row r="382" spans="1:5" x14ac:dyDescent="0.25">
      <c r="A382" s="484" t="s">
        <v>409</v>
      </c>
      <c r="B382" s="484"/>
      <c r="C382" s="485">
        <f>SUM(C377:C381)</f>
        <v>105.09629999999999</v>
      </c>
      <c r="D382" s="485">
        <f t="shared" ref="D382:E382" si="57">SUM(D377:D381)</f>
        <v>146.6</v>
      </c>
      <c r="E382" s="485">
        <f t="shared" si="57"/>
        <v>103.05600000000001</v>
      </c>
    </row>
    <row r="384" spans="1:5" x14ac:dyDescent="0.25">
      <c r="A384" s="384" t="s">
        <v>350</v>
      </c>
      <c r="B384" s="489" t="s">
        <v>963</v>
      </c>
      <c r="C384" s="483">
        <v>0.28289999999999998</v>
      </c>
      <c r="D384" s="490">
        <v>0.6</v>
      </c>
      <c r="E384">
        <f>IF(C384&lt;2,0,C384)</f>
        <v>0</v>
      </c>
    </row>
    <row r="385" spans="1:5" x14ac:dyDescent="0.25">
      <c r="A385" s="384" t="s">
        <v>350</v>
      </c>
      <c r="B385" s="489" t="s">
        <v>964</v>
      </c>
      <c r="C385" s="483">
        <v>1.1000000000000001E-3</v>
      </c>
      <c r="D385" s="490">
        <v>4.4999999999999997E-3</v>
      </c>
      <c r="E385">
        <f t="shared" ref="E385:E402" si="58">IF(C385&lt;2,0,C385)</f>
        <v>0</v>
      </c>
    </row>
    <row r="386" spans="1:5" x14ac:dyDescent="0.25">
      <c r="A386" s="384" t="s">
        <v>350</v>
      </c>
      <c r="B386" s="489" t="s">
        <v>965</v>
      </c>
      <c r="C386" s="483">
        <v>0.31219999999999998</v>
      </c>
      <c r="D386" s="490">
        <v>0.5</v>
      </c>
      <c r="E386">
        <f t="shared" si="58"/>
        <v>0</v>
      </c>
    </row>
    <row r="387" spans="1:5" x14ac:dyDescent="0.25">
      <c r="A387" s="384" t="s">
        <v>350</v>
      </c>
      <c r="B387" s="489" t="s">
        <v>966</v>
      </c>
      <c r="C387" s="483">
        <v>2.8199999999999999E-2</v>
      </c>
      <c r="D387" s="490">
        <v>0.05</v>
      </c>
      <c r="E387">
        <f t="shared" si="58"/>
        <v>0</v>
      </c>
    </row>
    <row r="388" spans="1:5" x14ac:dyDescent="0.25">
      <c r="A388" s="384" t="s">
        <v>350</v>
      </c>
      <c r="B388" s="489" t="s">
        <v>967</v>
      </c>
      <c r="C388" s="483">
        <v>4.8999999999999998E-3</v>
      </c>
      <c r="D388" s="490">
        <v>0.02</v>
      </c>
      <c r="E388">
        <f t="shared" si="58"/>
        <v>0</v>
      </c>
    </row>
    <row r="389" spans="1:5" x14ac:dyDescent="0.25">
      <c r="A389" s="384" t="s">
        <v>350</v>
      </c>
      <c r="B389" s="489" t="s">
        <v>968</v>
      </c>
      <c r="C389" s="483">
        <v>2.8999999999999998E-3</v>
      </c>
      <c r="D389" s="490">
        <v>8.9999999999999993E-3</v>
      </c>
      <c r="E389">
        <f t="shared" si="58"/>
        <v>0</v>
      </c>
    </row>
    <row r="390" spans="1:5" x14ac:dyDescent="0.25">
      <c r="A390" s="384" t="s">
        <v>350</v>
      </c>
      <c r="B390" s="489" t="s">
        <v>969</v>
      </c>
      <c r="C390" s="483">
        <v>4.0000000000000002E-4</v>
      </c>
      <c r="D390" s="490">
        <v>5.7999999999999996E-3</v>
      </c>
      <c r="E390">
        <f t="shared" si="58"/>
        <v>0</v>
      </c>
    </row>
    <row r="391" spans="1:5" x14ac:dyDescent="0.25">
      <c r="A391" s="384" t="s">
        <v>350</v>
      </c>
      <c r="B391" s="489" t="s">
        <v>970</v>
      </c>
      <c r="C391" s="483">
        <v>5.5999999999999999E-3</v>
      </c>
      <c r="D391" s="490">
        <v>1.2E-2</v>
      </c>
      <c r="E391">
        <f t="shared" si="58"/>
        <v>0</v>
      </c>
    </row>
    <row r="392" spans="1:5" x14ac:dyDescent="0.25">
      <c r="A392" s="384" t="s">
        <v>350</v>
      </c>
      <c r="B392" s="489" t="s">
        <v>971</v>
      </c>
      <c r="C392" s="483">
        <v>7.7000000000000002E-3</v>
      </c>
      <c r="D392" s="490">
        <v>0.01</v>
      </c>
      <c r="E392">
        <f t="shared" si="58"/>
        <v>0</v>
      </c>
    </row>
    <row r="393" spans="1:5" x14ac:dyDescent="0.25">
      <c r="A393" s="384" t="s">
        <v>350</v>
      </c>
      <c r="B393" s="489" t="s">
        <v>972</v>
      </c>
      <c r="C393" s="483">
        <v>6.4999999999999997E-3</v>
      </c>
      <c r="D393" s="490">
        <v>1.35E-2</v>
      </c>
      <c r="E393">
        <f t="shared" si="58"/>
        <v>0</v>
      </c>
    </row>
    <row r="394" spans="1:5" x14ac:dyDescent="0.25">
      <c r="A394" s="384" t="s">
        <v>350</v>
      </c>
      <c r="B394" s="489" t="s">
        <v>973</v>
      </c>
      <c r="C394" s="483">
        <v>2.1000000000000001E-2</v>
      </c>
      <c r="D394" s="490">
        <v>0.14000000000000001</v>
      </c>
      <c r="E394">
        <f t="shared" si="58"/>
        <v>0</v>
      </c>
    </row>
    <row r="395" spans="1:5" x14ac:dyDescent="0.25">
      <c r="A395" s="384" t="s">
        <v>350</v>
      </c>
      <c r="B395" s="489" t="s">
        <v>974</v>
      </c>
      <c r="C395" s="483">
        <v>1E-3</v>
      </c>
      <c r="D395" s="490">
        <v>1E-3</v>
      </c>
      <c r="E395">
        <f t="shared" si="58"/>
        <v>0</v>
      </c>
    </row>
    <row r="396" spans="1:5" x14ac:dyDescent="0.25">
      <c r="A396" s="384" t="s">
        <v>350</v>
      </c>
      <c r="B396" s="489" t="s">
        <v>975</v>
      </c>
      <c r="C396" s="483">
        <v>1.1000000000000001E-3</v>
      </c>
      <c r="D396" s="490">
        <v>7.4999999999999997E-3</v>
      </c>
      <c r="E396">
        <f t="shared" si="58"/>
        <v>0</v>
      </c>
    </row>
    <row r="397" spans="1:5" x14ac:dyDescent="0.25">
      <c r="A397" s="384" t="s">
        <v>350</v>
      </c>
      <c r="B397" s="489" t="s">
        <v>976</v>
      </c>
      <c r="C397" s="483">
        <v>0.2974</v>
      </c>
      <c r="D397" s="490">
        <v>0.5</v>
      </c>
      <c r="E397">
        <f t="shared" si="58"/>
        <v>0</v>
      </c>
    </row>
    <row r="398" spans="1:5" x14ac:dyDescent="0.25">
      <c r="A398" s="384" t="s">
        <v>350</v>
      </c>
      <c r="B398" s="489" t="s">
        <v>977</v>
      </c>
      <c r="C398" s="483">
        <v>2.2200000000000002</v>
      </c>
      <c r="D398" s="490">
        <v>3.5</v>
      </c>
      <c r="E398">
        <f t="shared" si="58"/>
        <v>2.2200000000000002</v>
      </c>
    </row>
    <row r="399" spans="1:5" x14ac:dyDescent="0.25">
      <c r="A399" s="384" t="s">
        <v>350</v>
      </c>
      <c r="B399" s="489" t="s">
        <v>978</v>
      </c>
      <c r="C399" s="483">
        <v>1.3599999999999999E-2</v>
      </c>
      <c r="D399" s="490">
        <v>8.2000000000000003E-2</v>
      </c>
      <c r="E399">
        <f t="shared" si="58"/>
        <v>0</v>
      </c>
    </row>
    <row r="400" spans="1:5" x14ac:dyDescent="0.25">
      <c r="A400" s="384" t="s">
        <v>350</v>
      </c>
      <c r="B400" s="489" t="s">
        <v>979</v>
      </c>
      <c r="C400" s="483">
        <v>0.75980000000000003</v>
      </c>
      <c r="D400" s="490">
        <v>1.5</v>
      </c>
      <c r="E400">
        <f t="shared" si="58"/>
        <v>0</v>
      </c>
    </row>
    <row r="401" spans="1:5" x14ac:dyDescent="0.25">
      <c r="A401" s="384" t="s">
        <v>350</v>
      </c>
      <c r="B401" s="489" t="s">
        <v>980</v>
      </c>
      <c r="C401" s="483">
        <v>8.0000000000000002E-3</v>
      </c>
      <c r="D401" s="490">
        <v>2.1999999999999999E-2</v>
      </c>
      <c r="E401">
        <f t="shared" si="58"/>
        <v>0</v>
      </c>
    </row>
    <row r="402" spans="1:5" x14ac:dyDescent="0.25">
      <c r="A402" s="384" t="s">
        <v>350</v>
      </c>
      <c r="B402" s="489" t="s">
        <v>981</v>
      </c>
      <c r="C402" s="483">
        <v>8.0000000000000004E-4</v>
      </c>
      <c r="D402" s="490">
        <v>2.7000000000000001E-3</v>
      </c>
      <c r="E402">
        <f t="shared" si="58"/>
        <v>0</v>
      </c>
    </row>
    <row r="403" spans="1:5" x14ac:dyDescent="0.25">
      <c r="A403" s="484" t="s">
        <v>409</v>
      </c>
      <c r="B403" s="484"/>
      <c r="C403" s="485">
        <f>SUM(C384:C402)</f>
        <v>3.9751000000000003</v>
      </c>
      <c r="D403" s="485">
        <f t="shared" ref="D403:E403" si="59">SUM(D384:D402)</f>
        <v>6.9799999999999995</v>
      </c>
      <c r="E403" s="485">
        <f t="shared" si="59"/>
        <v>2.2200000000000002</v>
      </c>
    </row>
    <row r="404" spans="1:5" x14ac:dyDescent="0.25">
      <c r="A404" s="384"/>
    </row>
    <row r="406" spans="1:5" x14ac:dyDescent="0.25">
      <c r="A406" s="56" t="s">
        <v>426</v>
      </c>
    </row>
    <row r="407" spans="1:5" x14ac:dyDescent="0.25">
      <c r="A407" t="s">
        <v>1320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2"/>
  <sheetViews>
    <sheetView workbookViewId="0">
      <selection activeCell="C25" sqref="C25"/>
    </sheetView>
  </sheetViews>
  <sheetFormatPr defaultRowHeight="13.2" x14ac:dyDescent="0.25"/>
  <cols>
    <col min="1" max="1" width="37.6640625" customWidth="1"/>
    <col min="2" max="2" width="11.6640625" customWidth="1"/>
    <col min="3" max="3" width="16.6640625" customWidth="1"/>
    <col min="4" max="4" width="25.6640625" customWidth="1"/>
    <col min="5" max="5" width="18.109375" customWidth="1"/>
    <col min="6" max="6" width="22.6640625" customWidth="1"/>
    <col min="7" max="7" width="10.6640625" customWidth="1"/>
    <col min="8" max="8" width="60.6640625" customWidth="1"/>
  </cols>
  <sheetData>
    <row r="2" spans="1:9" ht="37.5" customHeight="1" x14ac:dyDescent="0.25">
      <c r="A2" s="809" t="s">
        <v>1157</v>
      </c>
      <c r="B2" s="809" t="s">
        <v>322</v>
      </c>
      <c r="C2" s="809" t="s">
        <v>1178</v>
      </c>
      <c r="D2" s="810" t="s">
        <v>1186</v>
      </c>
      <c r="E2" s="810" t="s">
        <v>1179</v>
      </c>
      <c r="F2" s="810" t="s">
        <v>1181</v>
      </c>
      <c r="G2" s="810" t="s">
        <v>1182</v>
      </c>
      <c r="H2" s="810" t="s">
        <v>426</v>
      </c>
    </row>
    <row r="3" spans="1:9" x14ac:dyDescent="0.25">
      <c r="A3" s="2" t="s">
        <v>91</v>
      </c>
      <c r="B3" s="2" t="s">
        <v>403</v>
      </c>
      <c r="C3" s="2" t="s">
        <v>103</v>
      </c>
      <c r="D3" s="806">
        <v>737.42353600000001</v>
      </c>
      <c r="E3" s="2">
        <v>5.4</v>
      </c>
      <c r="F3" s="807">
        <v>1046.740401</v>
      </c>
      <c r="G3" s="808">
        <f>IF('LFG Estimates by Landfill'!D3="N/A", 'LFG Estimates by Landfill'!F3, 'LFG Estimates by Landfill'!F3-'LFG Estimates by Landfill'!D3)</f>
        <v>309.31686500000001</v>
      </c>
      <c r="H3" s="811" t="s">
        <v>1291</v>
      </c>
    </row>
    <row r="4" spans="1:9" x14ac:dyDescent="0.25">
      <c r="A4" s="2" t="s">
        <v>1154</v>
      </c>
      <c r="B4" s="2" t="s">
        <v>403</v>
      </c>
      <c r="C4" s="2" t="s">
        <v>92</v>
      </c>
      <c r="D4" s="806" t="s">
        <v>1010</v>
      </c>
      <c r="E4" s="2" t="s">
        <v>1010</v>
      </c>
      <c r="F4" s="807">
        <v>591.26095036869981</v>
      </c>
      <c r="G4" s="808">
        <f>IF('LFG Estimates by Landfill'!D4="N/A", 'LFG Estimates by Landfill'!F4, 'LFG Estimates by Landfill'!F4-'LFG Estimates by Landfill'!D4)</f>
        <v>591.26095036869981</v>
      </c>
      <c r="H4" s="129" t="s">
        <v>1307</v>
      </c>
    </row>
    <row r="5" spans="1:9" x14ac:dyDescent="0.25">
      <c r="A5" s="2" t="s">
        <v>1155</v>
      </c>
      <c r="B5" s="2" t="s">
        <v>325</v>
      </c>
      <c r="C5" s="2" t="s">
        <v>92</v>
      </c>
      <c r="D5" s="807" t="s">
        <v>1010</v>
      </c>
      <c r="E5" s="2" t="s">
        <v>1010</v>
      </c>
      <c r="F5" s="807">
        <v>405.76319999999998</v>
      </c>
      <c r="G5" s="808">
        <f>IF('LFG Estimates by Landfill'!D5="N/A", 'LFG Estimates by Landfill'!F5, 'LFG Estimates by Landfill'!F5-'LFG Estimates by Landfill'!D5)</f>
        <v>405.76319999999998</v>
      </c>
      <c r="H5" s="129" t="s">
        <v>1321</v>
      </c>
    </row>
    <row r="6" spans="1:9" x14ac:dyDescent="0.25">
      <c r="A6" s="2" t="s">
        <v>1156</v>
      </c>
      <c r="B6" s="2" t="s">
        <v>325</v>
      </c>
      <c r="C6" s="2" t="s">
        <v>92</v>
      </c>
      <c r="D6" s="807" t="s">
        <v>1010</v>
      </c>
      <c r="E6" s="2" t="s">
        <v>1010</v>
      </c>
      <c r="F6" s="807">
        <v>788.4</v>
      </c>
      <c r="G6" s="808">
        <f>IF('LFG Estimates by Landfill'!D6="N/A", 'LFG Estimates by Landfill'!F6, 'LFG Estimates by Landfill'!F6-'LFG Estimates by Landfill'!D6)</f>
        <v>788.4</v>
      </c>
      <c r="H6" s="129" t="s">
        <v>1321</v>
      </c>
    </row>
    <row r="7" spans="1:9" x14ac:dyDescent="0.25">
      <c r="A7" s="2" t="s">
        <v>93</v>
      </c>
      <c r="B7" s="2" t="s">
        <v>328</v>
      </c>
      <c r="C7" s="2" t="s">
        <v>103</v>
      </c>
      <c r="D7" s="806">
        <v>1019.152098</v>
      </c>
      <c r="E7" s="2">
        <v>7.5</v>
      </c>
      <c r="F7" s="807">
        <v>1596.5663024400001</v>
      </c>
      <c r="G7" s="808">
        <f>IF('LFG Estimates by Landfill'!D7="N/A", 'LFG Estimates by Landfill'!F7, 'LFG Estimates by Landfill'!F7-'LFG Estimates by Landfill'!D7)</f>
        <v>577.41420444000005</v>
      </c>
      <c r="H7" s="129" t="s">
        <v>1293</v>
      </c>
    </row>
    <row r="8" spans="1:9" x14ac:dyDescent="0.25">
      <c r="A8" s="2" t="s">
        <v>96</v>
      </c>
      <c r="B8" s="2" t="s">
        <v>328</v>
      </c>
      <c r="C8" s="2" t="s">
        <v>92</v>
      </c>
      <c r="D8" s="807" t="s">
        <v>1010</v>
      </c>
      <c r="E8" s="2" t="s">
        <v>1010</v>
      </c>
      <c r="F8" s="807">
        <v>125.22520784943943</v>
      </c>
      <c r="G8" s="808">
        <f>IF('LFG Estimates by Landfill'!D8="N/A", 'LFG Estimates by Landfill'!F8, 'LFG Estimates by Landfill'!F8-'LFG Estimates by Landfill'!D8)</f>
        <v>125.22520784943943</v>
      </c>
      <c r="H8" s="129" t="s">
        <v>1307</v>
      </c>
    </row>
    <row r="9" spans="1:9" x14ac:dyDescent="0.25">
      <c r="A9" s="2" t="s">
        <v>94</v>
      </c>
      <c r="B9" s="2" t="s">
        <v>328</v>
      </c>
      <c r="C9" s="2" t="s">
        <v>92</v>
      </c>
      <c r="D9" s="807" t="s">
        <v>1010</v>
      </c>
      <c r="E9" s="2" t="s">
        <v>1010</v>
      </c>
      <c r="F9" s="807">
        <v>51.563595950312575</v>
      </c>
      <c r="G9" s="808">
        <f>IF('LFG Estimates by Landfill'!D9="N/A", 'LFG Estimates by Landfill'!F9, 'LFG Estimates by Landfill'!F9-'LFG Estimates by Landfill'!D9)</f>
        <v>51.563595950312575</v>
      </c>
      <c r="H9" s="129" t="s">
        <v>1307</v>
      </c>
      <c r="I9" s="682"/>
    </row>
    <row r="10" spans="1:9" x14ac:dyDescent="0.25">
      <c r="A10" s="2" t="s">
        <v>1158</v>
      </c>
      <c r="B10" s="2" t="s">
        <v>328</v>
      </c>
      <c r="C10" s="2" t="s">
        <v>92</v>
      </c>
      <c r="D10" s="807" t="s">
        <v>1010</v>
      </c>
      <c r="E10" s="2" t="s">
        <v>1010</v>
      </c>
      <c r="F10" s="807">
        <v>495.58010194913936</v>
      </c>
      <c r="G10" s="808">
        <f>IF('LFG Estimates by Landfill'!D10="N/A", 'LFG Estimates by Landfill'!F10, 'LFG Estimates by Landfill'!F10-'LFG Estimates by Landfill'!D10)</f>
        <v>495.58010194913936</v>
      </c>
      <c r="H10" s="129" t="s">
        <v>1307</v>
      </c>
      <c r="I10" s="682"/>
    </row>
    <row r="11" spans="1:9" x14ac:dyDescent="0.25">
      <c r="A11" s="2" t="s">
        <v>95</v>
      </c>
      <c r="B11" s="2" t="s">
        <v>328</v>
      </c>
      <c r="C11" s="2" t="s">
        <v>92</v>
      </c>
      <c r="D11" s="807" t="s">
        <v>1010</v>
      </c>
      <c r="E11" s="2" t="s">
        <v>1010</v>
      </c>
      <c r="F11" s="807">
        <v>136.10184759000509</v>
      </c>
      <c r="G11" s="808">
        <f>IF('LFG Estimates by Landfill'!D11="N/A", 'LFG Estimates by Landfill'!F11, 'LFG Estimates by Landfill'!F11-'LFG Estimates by Landfill'!D11)</f>
        <v>136.10184759000509</v>
      </c>
      <c r="H11" s="129" t="s">
        <v>1307</v>
      </c>
    </row>
    <row r="12" spans="1:9" x14ac:dyDescent="0.25">
      <c r="A12" s="2" t="s">
        <v>1159</v>
      </c>
      <c r="B12" s="2" t="s">
        <v>328</v>
      </c>
      <c r="C12" s="2" t="s">
        <v>92</v>
      </c>
      <c r="D12" s="807" t="s">
        <v>1010</v>
      </c>
      <c r="E12" s="2" t="s">
        <v>1010</v>
      </c>
      <c r="F12" s="807">
        <v>272.47967138577809</v>
      </c>
      <c r="G12" s="808">
        <f>IF('LFG Estimates by Landfill'!D12="N/A", 'LFG Estimates by Landfill'!F12, 'LFG Estimates by Landfill'!F12-'LFG Estimates by Landfill'!D12)</f>
        <v>272.47967138577809</v>
      </c>
      <c r="H12" s="129" t="s">
        <v>1307</v>
      </c>
    </row>
    <row r="13" spans="1:9" x14ac:dyDescent="0.25">
      <c r="A13" s="2" t="s">
        <v>1160</v>
      </c>
      <c r="B13" s="2" t="s">
        <v>331</v>
      </c>
      <c r="C13" s="2" t="s">
        <v>103</v>
      </c>
      <c r="D13" s="807">
        <v>297.00299999999999</v>
      </c>
      <c r="E13" s="2">
        <v>2.8</v>
      </c>
      <c r="F13" s="807">
        <v>297.00299999999999</v>
      </c>
      <c r="G13" s="808">
        <f>IF('LFG Estimates by Landfill'!D13="N/A", 'LFG Estimates by Landfill'!F13, 'LFG Estimates by Landfill'!F13-'LFG Estimates by Landfill'!D13)</f>
        <v>0</v>
      </c>
      <c r="H13" s="129" t="s">
        <v>1294</v>
      </c>
    </row>
    <row r="14" spans="1:9" x14ac:dyDescent="0.25">
      <c r="A14" s="2" t="s">
        <v>97</v>
      </c>
      <c r="B14" s="2" t="s">
        <v>331</v>
      </c>
      <c r="C14" s="2" t="s">
        <v>92</v>
      </c>
      <c r="D14" s="807" t="s">
        <v>1010</v>
      </c>
      <c r="E14" s="2" t="s">
        <v>1010</v>
      </c>
      <c r="F14" s="807">
        <v>22.866403519479135</v>
      </c>
      <c r="G14" s="808">
        <f>IF('LFG Estimates by Landfill'!D14="N/A", 'LFG Estimates by Landfill'!F14, 'LFG Estimates by Landfill'!F14-'LFG Estimates by Landfill'!D14)</f>
        <v>22.866403519479135</v>
      </c>
      <c r="H14" s="129" t="s">
        <v>1307</v>
      </c>
    </row>
    <row r="15" spans="1:9" x14ac:dyDescent="0.25">
      <c r="A15" s="2" t="s">
        <v>1167</v>
      </c>
      <c r="B15" s="2" t="s">
        <v>333</v>
      </c>
      <c r="C15" s="2" t="s">
        <v>1176</v>
      </c>
      <c r="D15" s="807">
        <v>70.643416999999999</v>
      </c>
      <c r="E15" s="2">
        <v>0.5</v>
      </c>
      <c r="F15" s="807">
        <v>803.04450240124095</v>
      </c>
      <c r="G15" s="808">
        <f>IF('LFG Estimates by Landfill'!D15="N/A", 'LFG Estimates by Landfill'!F15, 'LFG Estimates by Landfill'!F15-'LFG Estimates by Landfill'!D15)</f>
        <v>732.40108540124095</v>
      </c>
      <c r="H15" s="129" t="s">
        <v>1295</v>
      </c>
    </row>
    <row r="16" spans="1:9" x14ac:dyDescent="0.25">
      <c r="A16" s="2" t="s">
        <v>1168</v>
      </c>
      <c r="B16" s="2" t="s">
        <v>335</v>
      </c>
      <c r="C16" s="2" t="s">
        <v>103</v>
      </c>
      <c r="D16" s="807">
        <v>699.89516800000001</v>
      </c>
      <c r="E16" s="2">
        <v>4.8</v>
      </c>
      <c r="F16" s="807">
        <v>890.08005734746496</v>
      </c>
      <c r="G16" s="808">
        <f>IF('LFG Estimates by Landfill'!D16="N/A", 'LFG Estimates by Landfill'!F16, 'LFG Estimates by Landfill'!F16-'LFG Estimates by Landfill'!D16)</f>
        <v>190.18488934746495</v>
      </c>
      <c r="H16" s="129" t="s">
        <v>1296</v>
      </c>
    </row>
    <row r="17" spans="1:9" x14ac:dyDescent="0.25">
      <c r="A17" s="2" t="s">
        <v>1172</v>
      </c>
      <c r="B17" s="2" t="s">
        <v>337</v>
      </c>
      <c r="C17" s="2" t="s">
        <v>1177</v>
      </c>
      <c r="D17" s="807">
        <v>0</v>
      </c>
      <c r="E17" s="2">
        <v>1.5</v>
      </c>
      <c r="F17" s="807">
        <v>470.70451590354145</v>
      </c>
      <c r="G17" s="808">
        <f>IF('LFG Estimates by Landfill'!D17="N/A", 'LFG Estimates by Landfill'!F17, 'LFG Estimates by Landfill'!F17-'LFG Estimates by Landfill'!D17)</f>
        <v>470.70451590354145</v>
      </c>
      <c r="H17" s="129" t="s">
        <v>1297</v>
      </c>
    </row>
    <row r="18" spans="1:9" x14ac:dyDescent="0.25">
      <c r="A18" s="2" t="s">
        <v>98</v>
      </c>
      <c r="B18" s="2" t="s">
        <v>337</v>
      </c>
      <c r="C18" s="2" t="s">
        <v>92</v>
      </c>
      <c r="D18" s="807" t="s">
        <v>1010</v>
      </c>
      <c r="E18" s="2" t="s">
        <v>1010</v>
      </c>
      <c r="F18" s="807">
        <v>317.89294995007447</v>
      </c>
      <c r="G18" s="808">
        <f>IF('LFG Estimates by Landfill'!D18="N/A", 'LFG Estimates by Landfill'!F18, 'LFG Estimates by Landfill'!F18-'LFG Estimates by Landfill'!D18)</f>
        <v>317.89294995007447</v>
      </c>
      <c r="H18" s="129" t="s">
        <v>1307</v>
      </c>
    </row>
    <row r="19" spans="1:9" x14ac:dyDescent="0.25">
      <c r="A19" s="2" t="s">
        <v>99</v>
      </c>
      <c r="B19" s="2" t="s">
        <v>337</v>
      </c>
      <c r="C19" s="2" t="s">
        <v>92</v>
      </c>
      <c r="D19" s="807" t="s">
        <v>1010</v>
      </c>
      <c r="E19" s="2" t="s">
        <v>1010</v>
      </c>
      <c r="F19" s="807">
        <v>64.454494937890715</v>
      </c>
      <c r="G19" s="808">
        <f>IF('LFG Estimates by Landfill'!D19="N/A", 'LFG Estimates by Landfill'!F19, 'LFG Estimates by Landfill'!F19-'LFG Estimates by Landfill'!D19)</f>
        <v>64.454494937890715</v>
      </c>
      <c r="H19" s="129" t="s">
        <v>1307</v>
      </c>
    </row>
    <row r="20" spans="1:9" x14ac:dyDescent="0.25">
      <c r="A20" s="2" t="s">
        <v>1180</v>
      </c>
      <c r="B20" s="2" t="s">
        <v>337</v>
      </c>
      <c r="C20" s="2" t="s">
        <v>92</v>
      </c>
      <c r="D20" s="807" t="s">
        <v>1010</v>
      </c>
      <c r="E20" s="2" t="s">
        <v>1010</v>
      </c>
      <c r="F20" s="807">
        <v>1856.4846276859969</v>
      </c>
      <c r="G20" s="808">
        <f>IF('LFG Estimates by Landfill'!D20="N/A", 'LFG Estimates by Landfill'!F20, 'LFG Estimates by Landfill'!F20-'LFG Estimates by Landfill'!D20)</f>
        <v>1856.4846276859969</v>
      </c>
      <c r="H20" s="129" t="s">
        <v>1307</v>
      </c>
    </row>
    <row r="21" spans="1:9" x14ac:dyDescent="0.25">
      <c r="A21" s="2" t="s">
        <v>1169</v>
      </c>
      <c r="B21" s="2" t="s">
        <v>341</v>
      </c>
      <c r="C21" s="2" t="s">
        <v>1177</v>
      </c>
      <c r="D21" s="807">
        <v>1674.5</v>
      </c>
      <c r="E21" s="2">
        <v>16.3</v>
      </c>
      <c r="F21" s="807">
        <v>1923.4</v>
      </c>
      <c r="G21" s="808">
        <f>IF('LFG Estimates by Landfill'!D21="N/A", 'LFG Estimates by Landfill'!F21, 'LFG Estimates by Landfill'!F21-'LFG Estimates by Landfill'!D21)</f>
        <v>248.90000000000009</v>
      </c>
      <c r="H21" s="811" t="s">
        <v>1298</v>
      </c>
      <c r="I21" s="682"/>
    </row>
    <row r="22" spans="1:9" x14ac:dyDescent="0.25">
      <c r="A22" s="2" t="s">
        <v>1161</v>
      </c>
      <c r="B22" s="2" t="s">
        <v>341</v>
      </c>
      <c r="C22" s="2" t="s">
        <v>1177</v>
      </c>
      <c r="D22" s="807">
        <v>1576.8</v>
      </c>
      <c r="E22" s="2">
        <v>9.1999999999999993</v>
      </c>
      <c r="F22" s="807">
        <v>1576.8</v>
      </c>
      <c r="G22" s="808">
        <f>IF('LFG Estimates by Landfill'!D22="N/A", 'LFG Estimates by Landfill'!F22, 'LFG Estimates by Landfill'!F22-'LFG Estimates by Landfill'!D22)</f>
        <v>0</v>
      </c>
      <c r="H22" s="129" t="s">
        <v>1299</v>
      </c>
    </row>
    <row r="23" spans="1:9" x14ac:dyDescent="0.25">
      <c r="A23" s="2" t="s">
        <v>1162</v>
      </c>
      <c r="B23" s="2" t="s">
        <v>341</v>
      </c>
      <c r="C23" s="2" t="s">
        <v>103</v>
      </c>
      <c r="D23" s="807">
        <v>0</v>
      </c>
      <c r="E23" s="2">
        <v>6.6</v>
      </c>
      <c r="F23" s="807">
        <v>151.40205229777266</v>
      </c>
      <c r="G23" s="808">
        <f>IF('LFG Estimates by Landfill'!D23="N/A", 'LFG Estimates by Landfill'!F23, 'LFG Estimates by Landfill'!F23-'LFG Estimates by Landfill'!D23)</f>
        <v>151.40205229777266</v>
      </c>
      <c r="H23" s="129" t="s">
        <v>1298</v>
      </c>
    </row>
    <row r="24" spans="1:9" x14ac:dyDescent="0.25">
      <c r="A24" s="2" t="s">
        <v>1163</v>
      </c>
      <c r="B24" s="2" t="s">
        <v>341</v>
      </c>
      <c r="C24" s="2" t="s">
        <v>103</v>
      </c>
      <c r="D24" s="807">
        <v>391.392</v>
      </c>
      <c r="E24" s="2">
        <v>6.7</v>
      </c>
      <c r="F24" s="807">
        <v>473.04</v>
      </c>
      <c r="G24" s="808">
        <f>IF('LFG Estimates by Landfill'!D24="N/A", 'LFG Estimates by Landfill'!F24, 'LFG Estimates by Landfill'!F24-'LFG Estimates by Landfill'!D24)</f>
        <v>81.648000000000025</v>
      </c>
      <c r="H24" s="129" t="s">
        <v>1298</v>
      </c>
    </row>
    <row r="25" spans="1:9" x14ac:dyDescent="0.25">
      <c r="A25" s="2" t="s">
        <v>100</v>
      </c>
      <c r="B25" s="2" t="s">
        <v>341</v>
      </c>
      <c r="C25" s="2" t="s">
        <v>92</v>
      </c>
      <c r="D25" s="807" t="s">
        <v>1010</v>
      </c>
      <c r="E25" s="2" t="s">
        <v>1010</v>
      </c>
      <c r="F25" s="807">
        <v>303.91555301193665</v>
      </c>
      <c r="G25" s="808">
        <f>IF('LFG Estimates by Landfill'!D25="N/A", 'LFG Estimates by Landfill'!F25, 'LFG Estimates by Landfill'!F25-'LFG Estimates by Landfill'!D25)</f>
        <v>303.91555301193665</v>
      </c>
      <c r="H25" s="129" t="s">
        <v>1307</v>
      </c>
    </row>
    <row r="26" spans="1:9" x14ac:dyDescent="0.25">
      <c r="A26" s="2" t="s">
        <v>1164</v>
      </c>
      <c r="B26" s="2" t="s">
        <v>342</v>
      </c>
      <c r="C26" s="2" t="s">
        <v>1177</v>
      </c>
      <c r="D26" s="807"/>
      <c r="E26" s="2"/>
      <c r="F26" s="807">
        <v>492.16016955631693</v>
      </c>
      <c r="G26" s="808">
        <f>IF('LFG Estimates by Landfill'!D26="N/A", 'LFG Estimates by Landfill'!F26, 'LFG Estimates by Landfill'!F26-'LFG Estimates by Landfill'!D26)</f>
        <v>492.16016955631693</v>
      </c>
      <c r="H26" s="129" t="s">
        <v>1307</v>
      </c>
    </row>
    <row r="27" spans="1:9" x14ac:dyDescent="0.25">
      <c r="A27" s="2" t="s">
        <v>1165</v>
      </c>
      <c r="B27" s="2" t="s">
        <v>342</v>
      </c>
      <c r="C27" s="2" t="s">
        <v>1177</v>
      </c>
      <c r="D27" s="807"/>
      <c r="E27" s="2"/>
      <c r="F27" s="807">
        <v>636.64862571969491</v>
      </c>
      <c r="G27" s="808">
        <f>IF('LFG Estimates by Landfill'!D27="N/A", 'LFG Estimates by Landfill'!F27, 'LFG Estimates by Landfill'!F27-'LFG Estimates by Landfill'!D27)</f>
        <v>636.64862571969491</v>
      </c>
      <c r="H27" s="129" t="s">
        <v>1307</v>
      </c>
    </row>
    <row r="28" spans="1:9" x14ac:dyDescent="0.25">
      <c r="A28" s="2" t="s">
        <v>1166</v>
      </c>
      <c r="B28" s="2" t="s">
        <v>342</v>
      </c>
      <c r="C28" s="2" t="s">
        <v>1177</v>
      </c>
      <c r="D28" s="807"/>
      <c r="E28" s="2"/>
      <c r="F28" s="807">
        <v>881.91317560784069</v>
      </c>
      <c r="G28" s="808">
        <f>IF('LFG Estimates by Landfill'!D28="N/A", 'LFG Estimates by Landfill'!F28, 'LFG Estimates by Landfill'!F28-'LFG Estimates by Landfill'!D28)</f>
        <v>881.91317560784069</v>
      </c>
      <c r="H28" s="129" t="s">
        <v>1307</v>
      </c>
    </row>
    <row r="29" spans="1:9" x14ac:dyDescent="0.25">
      <c r="A29" s="2" t="s">
        <v>101</v>
      </c>
      <c r="B29" s="2" t="s">
        <v>343</v>
      </c>
      <c r="C29" s="2" t="s">
        <v>92</v>
      </c>
      <c r="D29" s="807" t="s">
        <v>1010</v>
      </c>
      <c r="E29" s="2" t="s">
        <v>1010</v>
      </c>
      <c r="F29" s="807">
        <v>210.55135013044298</v>
      </c>
      <c r="G29" s="808">
        <f>IF('LFG Estimates by Landfill'!D29="N/A", 'LFG Estimates by Landfill'!F29, 'LFG Estimates by Landfill'!F29-'LFG Estimates by Landfill'!D29)</f>
        <v>210.55135013044298</v>
      </c>
      <c r="H29" s="129" t="s">
        <v>1307</v>
      </c>
    </row>
    <row r="30" spans="1:9" x14ac:dyDescent="0.25">
      <c r="A30" s="2" t="s">
        <v>102</v>
      </c>
      <c r="B30" s="2" t="s">
        <v>343</v>
      </c>
      <c r="C30" s="2" t="s">
        <v>92</v>
      </c>
      <c r="D30" s="807" t="s">
        <v>1010</v>
      </c>
      <c r="E30" s="2" t="s">
        <v>1010</v>
      </c>
      <c r="F30" s="807">
        <v>236.33314810559929</v>
      </c>
      <c r="G30" s="808">
        <f>IF('LFG Estimates by Landfill'!D30="N/A", 'LFG Estimates by Landfill'!F30, 'LFG Estimates by Landfill'!F30-'LFG Estimates by Landfill'!D30)</f>
        <v>236.33314810559929</v>
      </c>
      <c r="H30" s="129" t="s">
        <v>1307</v>
      </c>
    </row>
    <row r="31" spans="1:9" x14ac:dyDescent="0.25">
      <c r="A31" s="2" t="s">
        <v>1170</v>
      </c>
      <c r="B31" s="2" t="s">
        <v>344</v>
      </c>
      <c r="C31" s="2" t="s">
        <v>103</v>
      </c>
      <c r="D31" s="807">
        <v>2242.7352000000001</v>
      </c>
      <c r="E31" s="2">
        <v>14.4</v>
      </c>
      <c r="F31" s="807">
        <v>3153.6</v>
      </c>
      <c r="G31" s="808">
        <f>IF('LFG Estimates by Landfill'!D31="N/A", 'LFG Estimates by Landfill'!F31, 'LFG Estimates by Landfill'!F31-'LFG Estimates by Landfill'!D31)</f>
        <v>910.86479999999983</v>
      </c>
      <c r="H31" s="129" t="s">
        <v>1300</v>
      </c>
    </row>
    <row r="32" spans="1:9" x14ac:dyDescent="0.25">
      <c r="A32" s="2" t="s">
        <v>1171</v>
      </c>
      <c r="B32" s="2" t="s">
        <v>346</v>
      </c>
      <c r="C32" s="2" t="s">
        <v>92</v>
      </c>
      <c r="D32" s="807">
        <v>351.62639999999999</v>
      </c>
      <c r="E32" s="2"/>
      <c r="F32" s="807">
        <v>660.768552</v>
      </c>
      <c r="G32" s="808">
        <f>IF('LFG Estimates by Landfill'!D32="N/A", 'LFG Estimates by Landfill'!F32, 'LFG Estimates by Landfill'!F32-'LFG Estimates by Landfill'!D32)</f>
        <v>309.14215200000001</v>
      </c>
      <c r="H32" s="129" t="s">
        <v>1301</v>
      </c>
    </row>
    <row r="33" spans="1:8" x14ac:dyDescent="0.25">
      <c r="A33" s="2" t="s">
        <v>1173</v>
      </c>
      <c r="B33" s="2" t="s">
        <v>348</v>
      </c>
      <c r="C33" s="2" t="s">
        <v>103</v>
      </c>
      <c r="D33" s="806" t="s">
        <v>1010</v>
      </c>
      <c r="E33" s="129" t="s">
        <v>1010</v>
      </c>
      <c r="F33" s="807">
        <v>0</v>
      </c>
      <c r="G33" s="808">
        <f>IF('LFG Estimates by Landfill'!D33="N/A", 'LFG Estimates by Landfill'!F33, 'LFG Estimates by Landfill'!F33-'LFG Estimates by Landfill'!D33)</f>
        <v>0</v>
      </c>
      <c r="H33" s="129" t="s">
        <v>1305</v>
      </c>
    </row>
    <row r="34" spans="1:8" x14ac:dyDescent="0.25">
      <c r="A34" s="2" t="s">
        <v>1174</v>
      </c>
      <c r="B34" s="2" t="s">
        <v>348</v>
      </c>
      <c r="C34" s="2" t="s">
        <v>103</v>
      </c>
      <c r="D34" s="807">
        <v>289.17588932806325</v>
      </c>
      <c r="E34" s="2">
        <v>1.5</v>
      </c>
      <c r="F34" s="807">
        <v>306.94063244064165</v>
      </c>
      <c r="G34" s="808">
        <f>IF('LFG Estimates by Landfill'!D34="N/A", 'LFG Estimates by Landfill'!F34, 'LFG Estimates by Landfill'!F34-'LFG Estimates by Landfill'!D34)</f>
        <v>17.764743112578401</v>
      </c>
      <c r="H34" s="129" t="s">
        <v>1305</v>
      </c>
    </row>
    <row r="35" spans="1:8" x14ac:dyDescent="0.25">
      <c r="A35" s="2" t="s">
        <v>1175</v>
      </c>
      <c r="B35" s="2" t="s">
        <v>350</v>
      </c>
      <c r="C35" s="2" t="s">
        <v>103</v>
      </c>
      <c r="D35" s="807">
        <v>182.89423300000001</v>
      </c>
      <c r="E35" s="2">
        <v>1.9</v>
      </c>
      <c r="F35" s="807">
        <v>276.52688999999998</v>
      </c>
      <c r="G35" s="808">
        <f>IF('LFG Estimates by Landfill'!D35="N/A", 'LFG Estimates by Landfill'!F35, 'LFG Estimates by Landfill'!F35-'LFG Estimates by Landfill'!D35)</f>
        <v>93.632656999999966</v>
      </c>
      <c r="H35" s="129" t="s">
        <v>1306</v>
      </c>
    </row>
    <row r="37" spans="1:8" x14ac:dyDescent="0.25">
      <c r="A37" t="s">
        <v>1317</v>
      </c>
    </row>
    <row r="38" spans="1:8" x14ac:dyDescent="0.25">
      <c r="A38" t="s">
        <v>1315</v>
      </c>
    </row>
    <row r="39" spans="1:8" x14ac:dyDescent="0.25">
      <c r="A39" t="s">
        <v>1316</v>
      </c>
    </row>
    <row r="41" spans="1:8" x14ac:dyDescent="0.25">
      <c r="A41" t="s">
        <v>1318</v>
      </c>
    </row>
    <row r="42" spans="1:8" x14ac:dyDescent="0.25">
      <c r="A42" t="s">
        <v>1319</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32</vt:i4>
      </vt:variant>
    </vt:vector>
  </HeadingPairs>
  <TitlesOfParts>
    <vt:vector size="76" baseType="lpstr">
      <vt:lpstr>Copyright Protection</vt:lpstr>
      <vt:lpstr>Instructions</vt:lpstr>
      <vt:lpstr>Bioenergy Calculator</vt:lpstr>
      <vt:lpstr>Prac. Rec. Assumptions</vt:lpstr>
      <vt:lpstr>Energy Content Assumptions</vt:lpstr>
      <vt:lpstr>Technology Assumptions</vt:lpstr>
      <vt:lpstr>Conversion Tables</vt:lpstr>
      <vt:lpstr>WWTP</vt:lpstr>
      <vt:lpstr>LFG Estimates by Landfill</vt:lpstr>
      <vt:lpstr>Biomass Data Assumptions</vt:lpstr>
      <vt:lpstr>Fuel Yields Eth. and DA Hydrol.</vt:lpstr>
      <vt:lpstr>Summary Tables</vt:lpstr>
      <vt:lpstr>GHG - LFG Power</vt:lpstr>
      <vt:lpstr>GHG - LFG Transportation</vt:lpstr>
      <vt:lpstr>GHG - FW Power</vt:lpstr>
      <vt:lpstr>GHG - FW Transportation</vt:lpstr>
      <vt:lpstr>Biodiesel for transportation </vt:lpstr>
      <vt:lpstr>timberland for energy</vt:lpstr>
      <vt:lpstr>GHG-LandfilledMSW-Power</vt:lpstr>
      <vt:lpstr>GHG - Biosolids Power</vt:lpstr>
      <vt:lpstr>Contact Info</vt:lpstr>
      <vt:lpstr>Atlantic</vt:lpstr>
      <vt:lpstr>Bergen</vt:lpstr>
      <vt:lpstr>Burlington</vt:lpstr>
      <vt:lpstr>Camden</vt:lpstr>
      <vt:lpstr>Cape May</vt:lpstr>
      <vt:lpstr>Cumberland</vt:lpstr>
      <vt:lpstr>Essex</vt:lpstr>
      <vt:lpstr>Gloucester</vt:lpstr>
      <vt:lpstr>Hudson</vt:lpstr>
      <vt:lpstr>Hunterdon</vt:lpstr>
      <vt:lpstr>Mercer</vt:lpstr>
      <vt:lpstr>Middlesex</vt:lpstr>
      <vt:lpstr>Monmouth</vt:lpstr>
      <vt:lpstr>Morris</vt:lpstr>
      <vt:lpstr>Ocean</vt:lpstr>
      <vt:lpstr>Passaic</vt:lpstr>
      <vt:lpstr>Salem</vt:lpstr>
      <vt:lpstr>Somerset</vt:lpstr>
      <vt:lpstr>Sussex</vt:lpstr>
      <vt:lpstr>Union</vt:lpstr>
      <vt:lpstr>Warren</vt:lpstr>
      <vt:lpstr>Charts &amp; Tables</vt:lpstr>
      <vt:lpstr>Incineration Data</vt:lpstr>
      <vt:lpstr>Instructions!_ftn1</vt:lpstr>
      <vt:lpstr>Instructions!_ftn2</vt:lpstr>
      <vt:lpstr>Atlantic!Print_Area</vt:lpstr>
      <vt:lpstr>Bergen!Print_Area</vt:lpstr>
      <vt:lpstr>'Bioenergy Calculator'!Print_Area</vt:lpstr>
      <vt:lpstr>'Biomass Data Assumptions'!Print_Area</vt:lpstr>
      <vt:lpstr>Burlington!Print_Area</vt:lpstr>
      <vt:lpstr>Camden!Print_Area</vt:lpstr>
      <vt:lpstr>'Cape May'!Print_Area</vt:lpstr>
      <vt:lpstr>'Conversion Tables'!Print_Area</vt:lpstr>
      <vt:lpstr>'Copyright Protection'!Print_Area</vt:lpstr>
      <vt:lpstr>Cumberland!Print_Area</vt:lpstr>
      <vt:lpstr>'Energy Content Assumptions'!Print_Area</vt:lpstr>
      <vt:lpstr>Essex!Print_Area</vt:lpstr>
      <vt:lpstr>'Fuel Yields Eth. and DA Hydrol.'!Print_Area</vt:lpstr>
      <vt:lpstr>Gloucester!Print_Area</vt:lpstr>
      <vt:lpstr>Hudson!Print_Area</vt:lpstr>
      <vt:lpstr>Hunterdon!Print_Area</vt:lpstr>
      <vt:lpstr>Mercer!Print_Area</vt:lpstr>
      <vt:lpstr>Middlesex!Print_Area</vt:lpstr>
      <vt:lpstr>Monmouth!Print_Area</vt:lpstr>
      <vt:lpstr>Morris!Print_Area</vt:lpstr>
      <vt:lpstr>Ocean!Print_Area</vt:lpstr>
      <vt:lpstr>Passaic!Print_Area</vt:lpstr>
      <vt:lpstr>Salem!Print_Area</vt:lpstr>
      <vt:lpstr>Somerset!Print_Area</vt:lpstr>
      <vt:lpstr>'Summary Tables'!Print_Area</vt:lpstr>
      <vt:lpstr>Sussex!Print_Area</vt:lpstr>
      <vt:lpstr>'Technology Assumptions'!Print_Area</vt:lpstr>
      <vt:lpstr>Union!Print_Area</vt:lpstr>
      <vt:lpstr>Warren!Print_Area</vt:lpstr>
      <vt:lpstr>'Conversion Tables'!Print_Titles</vt:lpstr>
    </vt:vector>
  </TitlesOfParts>
  <Company>Rutgers, The State University of New Jersey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Schilling</dc:creator>
  <cp:lastModifiedBy>David Specca</cp:lastModifiedBy>
  <cp:lastPrinted>2013-10-10T14:59:08Z</cp:lastPrinted>
  <dcterms:created xsi:type="dcterms:W3CDTF">2006-09-20T18:00:00Z</dcterms:created>
  <dcterms:modified xsi:type="dcterms:W3CDTF">2016-03-18T20:21:06Z</dcterms:modified>
</cp:coreProperties>
</file>